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"/>
    </mc:Choice>
  </mc:AlternateContent>
  <xr:revisionPtr revIDLastSave="0" documentId="13_ncr:1_{D9C0ED62-767D-4843-991A-F07F4A902523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indeks'!$A$1:$V$95</definedName>
    <definedName name="_xlnm.Print_Area" localSheetId="0">'Indeks '!$A$1:$J$264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3" i="11" l="1"/>
  <c r="E243" i="11"/>
  <c r="C245" i="11"/>
  <c r="C244" i="11"/>
  <c r="C243" i="11"/>
  <c r="H243" i="11"/>
  <c r="F242" i="11"/>
  <c r="E242" i="11"/>
  <c r="C242" i="11"/>
  <c r="F241" i="11"/>
  <c r="E241" i="11"/>
  <c r="H241" i="11" s="1"/>
  <c r="F240" i="11"/>
  <c r="C241" i="11"/>
  <c r="C240" i="11"/>
  <c r="H240" i="11" s="1"/>
  <c r="E240" i="11"/>
  <c r="F239" i="11"/>
  <c r="E239" i="11"/>
  <c r="H242" i="11" l="1"/>
  <c r="F238" i="11"/>
  <c r="E238" i="11"/>
  <c r="H238" i="11" s="1"/>
  <c r="F237" i="11"/>
  <c r="E237" i="11"/>
  <c r="C239" i="11"/>
  <c r="C238" i="11"/>
  <c r="C237" i="11"/>
  <c r="H237" i="11"/>
  <c r="F236" i="11"/>
  <c r="E236" i="11"/>
  <c r="H236" i="11" s="1"/>
  <c r="F235" i="11"/>
  <c r="H235" i="11" s="1"/>
  <c r="E235" i="11"/>
  <c r="F234" i="11"/>
  <c r="H234" i="11" s="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H134" i="11" s="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/>
  <c r="C106" i="11"/>
  <c r="H106" i="11" s="1"/>
  <c r="C105" i="11"/>
  <c r="H105" i="11" s="1"/>
  <c r="E104" i="11"/>
  <c r="C104" i="11"/>
  <c r="F103" i="11"/>
  <c r="C103" i="11"/>
  <c r="C102" i="11"/>
  <c r="H102" i="11" s="1"/>
  <c r="H101" i="11"/>
  <c r="C101" i="1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H109" i="1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62" i="11" l="1"/>
  <c r="H118" i="11"/>
  <c r="C120" i="11"/>
  <c r="H120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H122" i="1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I84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F184" i="11" l="1"/>
  <c r="F191" i="12" s="1"/>
  <c r="H187" i="11"/>
  <c r="C184" i="11" s="1"/>
  <c r="I85" i="11"/>
  <c r="I79" i="11"/>
  <c r="G184" i="11"/>
  <c r="I78" i="11"/>
  <c r="D196" i="5"/>
  <c r="I76" i="11"/>
  <c r="I82" i="11"/>
  <c r="D188" i="5"/>
  <c r="I87" i="11"/>
  <c r="E184" i="11"/>
  <c r="E197" i="12" s="1"/>
  <c r="D189" i="5"/>
  <c r="C184" i="5"/>
  <c r="D184" i="5" s="1"/>
  <c r="G13" i="10"/>
  <c r="B14" i="10" s="1"/>
  <c r="D184" i="11"/>
  <c r="D195" i="12" s="1"/>
  <c r="D183" i="5"/>
  <c r="D194" i="5"/>
  <c r="D187" i="5"/>
  <c r="D186" i="5"/>
  <c r="D197" i="5"/>
  <c r="I86" i="11"/>
  <c r="F202" i="12"/>
  <c r="C201" i="12"/>
  <c r="F201" i="12"/>
  <c r="F186" i="12"/>
  <c r="D195" i="5"/>
  <c r="F195" i="12"/>
  <c r="D14" i="10"/>
  <c r="E188" i="12"/>
  <c r="E196" i="12"/>
  <c r="E192" i="12"/>
  <c r="E10" i="4"/>
  <c r="E186" i="12"/>
  <c r="E191" i="5"/>
  <c r="F187" i="12"/>
  <c r="F185" i="12"/>
  <c r="F188" i="12"/>
  <c r="F196" i="12"/>
  <c r="E12" i="4"/>
  <c r="F197" i="12"/>
  <c r="F189" i="12"/>
  <c r="F194" i="12"/>
  <c r="F184" i="12"/>
  <c r="F192" i="12"/>
  <c r="F200" i="12"/>
  <c r="F190" i="12"/>
  <c r="E130" i="11"/>
  <c r="H130" i="11" s="1"/>
  <c r="H129" i="11"/>
  <c r="D194" i="12"/>
  <c r="C186" i="12"/>
  <c r="C189" i="12"/>
  <c r="C191" i="12"/>
  <c r="E5" i="4"/>
  <c r="C184" i="12"/>
  <c r="C196" i="12"/>
  <c r="C197" i="12"/>
  <c r="C185" i="12"/>
  <c r="C200" i="12"/>
  <c r="C187" i="12"/>
  <c r="C188" i="12"/>
  <c r="C190" i="12"/>
  <c r="C192" i="12"/>
  <c r="C198" i="12"/>
  <c r="C195" i="12"/>
  <c r="C194" i="12"/>
  <c r="C200" i="5"/>
  <c r="H195" i="11"/>
  <c r="C192" i="5" s="1"/>
  <c r="G194" i="5" s="1"/>
  <c r="F14" i="10"/>
  <c r="F198" i="12"/>
  <c r="G201" i="12"/>
  <c r="H201" i="11"/>
  <c r="C198" i="5" s="1"/>
  <c r="D190" i="5"/>
  <c r="D191" i="5"/>
  <c r="G187" i="12"/>
  <c r="G200" i="12"/>
  <c r="G185" i="12"/>
  <c r="E13" i="4"/>
  <c r="G192" i="12"/>
  <c r="G198" i="12"/>
  <c r="G184" i="12"/>
  <c r="G194" i="12"/>
  <c r="G186" i="12"/>
  <c r="G189" i="12"/>
  <c r="G190" i="12"/>
  <c r="G191" i="12"/>
  <c r="G196" i="12"/>
  <c r="G197" i="12"/>
  <c r="G188" i="12"/>
  <c r="G195" i="12"/>
  <c r="E202" i="12"/>
  <c r="G202" i="12"/>
  <c r="C202" i="12"/>
  <c r="C201" i="5"/>
  <c r="H205" i="11"/>
  <c r="G203" i="12" s="1"/>
  <c r="H206" i="11"/>
  <c r="G204" i="12" s="1"/>
  <c r="D185" i="5" l="1"/>
  <c r="D192" i="12"/>
  <c r="D191" i="12"/>
  <c r="E194" i="12"/>
  <c r="F188" i="5"/>
  <c r="E198" i="12"/>
  <c r="E195" i="12"/>
  <c r="H195" i="12" s="1"/>
  <c r="E190" i="12"/>
  <c r="E187" i="12"/>
  <c r="E201" i="12"/>
  <c r="E200" i="12"/>
  <c r="E184" i="12"/>
  <c r="E189" i="12"/>
  <c r="E191" i="12"/>
  <c r="H191" i="12" s="1"/>
  <c r="E185" i="12"/>
  <c r="D198" i="12"/>
  <c r="H198" i="12" s="1"/>
  <c r="C14" i="10"/>
  <c r="D197" i="12"/>
  <c r="E188" i="5"/>
  <c r="D185" i="12"/>
  <c r="E185" i="5"/>
  <c r="E6" i="4"/>
  <c r="D188" i="12"/>
  <c r="H188" i="12" s="1"/>
  <c r="D189" i="12"/>
  <c r="D186" i="12"/>
  <c r="H186" i="12" s="1"/>
  <c r="D187" i="12"/>
  <c r="D196" i="12"/>
  <c r="H196" i="12" s="1"/>
  <c r="D190" i="12"/>
  <c r="D201" i="12"/>
  <c r="H201" i="12" s="1"/>
  <c r="D202" i="12"/>
  <c r="H202" i="12" s="1"/>
  <c r="D184" i="12"/>
  <c r="H184" i="12" s="1"/>
  <c r="D200" i="12"/>
  <c r="E14" i="10"/>
  <c r="G199" i="12"/>
  <c r="C199" i="12"/>
  <c r="D201" i="5"/>
  <c r="E200" i="5"/>
  <c r="G193" i="12"/>
  <c r="F194" i="5"/>
  <c r="E199" i="12"/>
  <c r="H197" i="12"/>
  <c r="D199" i="12"/>
  <c r="D198" i="5"/>
  <c r="D199" i="5"/>
  <c r="H192" i="12"/>
  <c r="D193" i="12"/>
  <c r="H194" i="12"/>
  <c r="F199" i="12"/>
  <c r="C193" i="12"/>
  <c r="E193" i="12"/>
  <c r="F193" i="12"/>
  <c r="E137" i="11"/>
  <c r="H137" i="11" s="1"/>
  <c r="D192" i="5"/>
  <c r="D193" i="5"/>
  <c r="E194" i="5"/>
  <c r="H194" i="5"/>
  <c r="E197" i="5"/>
  <c r="F200" i="5"/>
  <c r="H187" i="12"/>
  <c r="D200" i="5"/>
  <c r="G14" i="10"/>
  <c r="D203" i="12"/>
  <c r="C202" i="5"/>
  <c r="D202" i="5" s="1"/>
  <c r="F203" i="12"/>
  <c r="C203" i="12"/>
  <c r="E203" i="12"/>
  <c r="C203" i="5"/>
  <c r="C204" i="12"/>
  <c r="D204" i="12"/>
  <c r="F204" i="12"/>
  <c r="E204" i="12"/>
  <c r="H207" i="11"/>
  <c r="H189" i="12" l="1"/>
  <c r="H190" i="12"/>
  <c r="H185" i="12"/>
  <c r="H200" i="12"/>
  <c r="H199" i="12"/>
  <c r="H193" i="12"/>
  <c r="D203" i="5"/>
  <c r="H203" i="12"/>
  <c r="E203" i="5"/>
  <c r="C205" i="12"/>
  <c r="C204" i="5"/>
  <c r="D205" i="12"/>
  <c r="F205" i="12"/>
  <c r="H204" i="12"/>
  <c r="G205" i="12"/>
  <c r="E205" i="12"/>
  <c r="H208" i="11"/>
  <c r="C206" i="12" l="1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48" i="11" l="1"/>
  <c r="C211" i="5"/>
  <c r="C212" i="12"/>
  <c r="D212" i="12"/>
  <c r="F212" i="12"/>
  <c r="E212" i="12"/>
  <c r="H211" i="12"/>
  <c r="G212" i="12"/>
  <c r="D210" i="5"/>
  <c r="C251" i="11" l="1"/>
  <c r="C247" i="11"/>
  <c r="C246" i="11"/>
  <c r="C212" i="5"/>
  <c r="F212" i="5" s="1"/>
  <c r="C213" i="12"/>
  <c r="D213" i="12"/>
  <c r="F213" i="12"/>
  <c r="E213" i="12"/>
  <c r="E214" i="12"/>
  <c r="H212" i="12"/>
  <c r="G213" i="12"/>
  <c r="D211" i="5"/>
  <c r="C249" i="11" l="1"/>
  <c r="C250" i="11"/>
  <c r="C254" i="11"/>
  <c r="C213" i="5"/>
  <c r="C214" i="12"/>
  <c r="D214" i="12"/>
  <c r="F214" i="12"/>
  <c r="G215" i="12"/>
  <c r="H213" i="12"/>
  <c r="G214" i="12"/>
  <c r="D212" i="5"/>
  <c r="E212" i="5"/>
  <c r="C257" i="11" l="1"/>
  <c r="C253" i="11"/>
  <c r="C252" i="1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F244" i="11"/>
  <c r="F245" i="11" s="1"/>
  <c r="F246" i="11" s="1"/>
  <c r="E216" i="12"/>
  <c r="F247" i="11" l="1"/>
  <c r="E215" i="5"/>
  <c r="G244" i="11"/>
  <c r="G245" i="11" s="1"/>
  <c r="G246" i="11" s="1"/>
  <c r="C216" i="5"/>
  <c r="C217" i="12"/>
  <c r="D217" i="12"/>
  <c r="F217" i="12"/>
  <c r="H216" i="12"/>
  <c r="E217" i="12"/>
  <c r="G217" i="12"/>
  <c r="G247" i="11" l="1"/>
  <c r="F248" i="11"/>
  <c r="H217" i="12"/>
  <c r="D216" i="5"/>
  <c r="C217" i="5"/>
  <c r="D217" i="5" s="1"/>
  <c r="C218" i="12"/>
  <c r="D218" i="12"/>
  <c r="F218" i="12"/>
  <c r="E218" i="12"/>
  <c r="E219" i="12"/>
  <c r="G218" i="12"/>
  <c r="F249" i="11" l="1"/>
  <c r="G248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G249" i="11" l="1"/>
  <c r="F250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F251" i="11" l="1"/>
  <c r="G250" i="11"/>
  <c r="H221" i="12"/>
  <c r="E222" i="12"/>
  <c r="C222" i="12"/>
  <c r="C221" i="5"/>
  <c r="G222" i="12"/>
  <c r="F222" i="12"/>
  <c r="D222" i="12"/>
  <c r="G251" i="11" l="1"/>
  <c r="F252" i="11"/>
  <c r="D221" i="5"/>
  <c r="E221" i="5"/>
  <c r="H222" i="12"/>
  <c r="F223" i="12"/>
  <c r="E223" i="12"/>
  <c r="C222" i="5"/>
  <c r="G223" i="12"/>
  <c r="C223" i="12"/>
  <c r="D223" i="12"/>
  <c r="G252" i="11" l="1"/>
  <c r="F253" i="11"/>
  <c r="C224" i="12"/>
  <c r="F224" i="12"/>
  <c r="C223" i="5"/>
  <c r="G224" i="12"/>
  <c r="E224" i="12"/>
  <c r="D224" i="12"/>
  <c r="D222" i="5"/>
  <c r="H223" i="12"/>
  <c r="G253" i="11" l="1"/>
  <c r="F254" i="1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G228" i="12"/>
  <c r="F228" i="12"/>
  <c r="E228" i="12"/>
  <c r="C228" i="12"/>
  <c r="C227" i="5"/>
  <c r="D228" i="12"/>
  <c r="H227" i="12"/>
  <c r="D226" i="5"/>
  <c r="G257" i="11" l="1"/>
  <c r="F229" i="12"/>
  <c r="E229" i="12"/>
  <c r="G229" i="12"/>
  <c r="C229" i="12"/>
  <c r="C228" i="5"/>
  <c r="D229" i="12"/>
  <c r="D227" i="5"/>
  <c r="E227" i="5"/>
  <c r="H228" i="12"/>
  <c r="G231" i="12" l="1"/>
  <c r="H229" i="12"/>
  <c r="E230" i="12"/>
  <c r="C230" i="12"/>
  <c r="F230" i="12"/>
  <c r="G230" i="12"/>
  <c r="C229" i="5"/>
  <c r="D230" i="12"/>
  <c r="D228" i="5"/>
  <c r="C232" i="5" l="1"/>
  <c r="D231" i="12"/>
  <c r="C231" i="12"/>
  <c r="E231" i="12"/>
  <c r="C230" i="5"/>
  <c r="E230" i="5" s="1"/>
  <c r="F231" i="12"/>
  <c r="C231" i="5"/>
  <c r="D229" i="5"/>
  <c r="H230" i="12"/>
  <c r="E232" i="12" l="1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C234" i="5" l="1"/>
  <c r="E233" i="5"/>
  <c r="C233" i="12"/>
  <c r="F233" i="12"/>
  <c r="G233" i="12"/>
  <c r="D233" i="12"/>
  <c r="E234" i="12"/>
  <c r="H232" i="12"/>
  <c r="E233" i="12"/>
  <c r="C235" i="5" l="1"/>
  <c r="D235" i="5" s="1"/>
  <c r="D234" i="5"/>
  <c r="C234" i="12"/>
  <c r="F234" i="12"/>
  <c r="G234" i="12"/>
  <c r="D234" i="12"/>
  <c r="H233" i="12"/>
  <c r="D244" i="11" l="1"/>
  <c r="H239" i="11"/>
  <c r="C236" i="5" s="1"/>
  <c r="D236" i="5" s="1"/>
  <c r="H234" i="12"/>
  <c r="C235" i="12"/>
  <c r="F235" i="12"/>
  <c r="G235" i="12"/>
  <c r="D235" i="12"/>
  <c r="E235" i="12"/>
  <c r="E236" i="12"/>
  <c r="D245" i="11" l="1"/>
  <c r="D246" i="11" s="1"/>
  <c r="C237" i="5"/>
  <c r="F236" i="5"/>
  <c r="E236" i="5"/>
  <c r="H235" i="12"/>
  <c r="C236" i="12"/>
  <c r="F236" i="12"/>
  <c r="G236" i="12"/>
  <c r="D236" i="12"/>
  <c r="E237" i="12"/>
  <c r="D247" i="11" l="1"/>
  <c r="H236" i="12"/>
  <c r="D237" i="5"/>
  <c r="C238" i="5"/>
  <c r="D238" i="5" s="1"/>
  <c r="C237" i="12"/>
  <c r="F237" i="12"/>
  <c r="G237" i="12"/>
  <c r="D237" i="12"/>
  <c r="D248" i="11" l="1"/>
  <c r="H237" i="12"/>
  <c r="C239" i="5"/>
  <c r="D239" i="5" s="1"/>
  <c r="C238" i="12"/>
  <c r="F238" i="12"/>
  <c r="G238" i="12"/>
  <c r="D238" i="12"/>
  <c r="E238" i="12"/>
  <c r="D249" i="11" l="1"/>
  <c r="E244" i="11"/>
  <c r="C240" i="5"/>
  <c r="E239" i="5"/>
  <c r="C239" i="12"/>
  <c r="F239" i="12"/>
  <c r="G239" i="12"/>
  <c r="D239" i="12"/>
  <c r="E239" i="12"/>
  <c r="H238" i="12"/>
  <c r="D250" i="11" l="1"/>
  <c r="D240" i="5"/>
  <c r="E245" i="11"/>
  <c r="E246" i="11" s="1"/>
  <c r="H244" i="11"/>
  <c r="C241" i="5" s="1"/>
  <c r="D241" i="5" s="1"/>
  <c r="C240" i="12"/>
  <c r="F240" i="12"/>
  <c r="G240" i="12"/>
  <c r="D240" i="12"/>
  <c r="H239" i="12"/>
  <c r="E240" i="12"/>
  <c r="E247" i="11" l="1"/>
  <c r="D251" i="11"/>
  <c r="H245" i="11"/>
  <c r="C242" i="5" s="1"/>
  <c r="D242" i="5" s="1"/>
  <c r="H240" i="12"/>
  <c r="C241" i="12"/>
  <c r="F241" i="12"/>
  <c r="G241" i="12"/>
  <c r="D241" i="12"/>
  <c r="E241" i="12"/>
  <c r="F242" i="5" l="1"/>
  <c r="E242" i="5"/>
  <c r="G242" i="5"/>
  <c r="H242" i="5"/>
  <c r="E248" i="11"/>
  <c r="H246" i="11"/>
  <c r="D252" i="11"/>
  <c r="H241" i="12"/>
  <c r="C242" i="12"/>
  <c r="F242" i="12"/>
  <c r="G242" i="12"/>
  <c r="D242" i="12"/>
  <c r="E243" i="12"/>
  <c r="E242" i="12"/>
  <c r="E249" i="11" l="1"/>
  <c r="C243" i="5"/>
  <c r="C244" i="12"/>
  <c r="F244" i="12"/>
  <c r="G244" i="12"/>
  <c r="D244" i="12"/>
  <c r="E244" i="12"/>
  <c r="H247" i="11"/>
  <c r="D253" i="11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E250" i="11"/>
  <c r="H248" i="11"/>
  <c r="D254" i="11"/>
  <c r="H243" i="12"/>
  <c r="H245" i="12" l="1"/>
  <c r="C245" i="5"/>
  <c r="D245" i="5" s="1"/>
  <c r="C246" i="12"/>
  <c r="F246" i="12"/>
  <c r="G246" i="12"/>
  <c r="D246" i="12"/>
  <c r="E246" i="12"/>
  <c r="E251" i="11"/>
  <c r="D244" i="5"/>
  <c r="D255" i="11"/>
  <c r="H249" i="11"/>
  <c r="E245" i="5" l="1"/>
  <c r="H246" i="12"/>
  <c r="E252" i="11"/>
  <c r="C246" i="5"/>
  <c r="C247" i="12"/>
  <c r="F247" i="12"/>
  <c r="G247" i="12"/>
  <c r="D247" i="12"/>
  <c r="E247" i="12"/>
  <c r="D256" i="11"/>
  <c r="H250" i="11"/>
  <c r="H247" i="12" l="1"/>
  <c r="C247" i="5"/>
  <c r="D247" i="5" s="1"/>
  <c r="C248" i="12"/>
  <c r="F248" i="12"/>
  <c r="G248" i="12"/>
  <c r="D248" i="12"/>
  <c r="E248" i="12"/>
  <c r="D246" i="5"/>
  <c r="E253" i="11"/>
  <c r="D257" i="11"/>
  <c r="H251" i="11"/>
  <c r="E254" i="11" l="1"/>
  <c r="H248" i="12"/>
  <c r="C248" i="5"/>
  <c r="C249" i="12"/>
  <c r="F249" i="12"/>
  <c r="G249" i="12"/>
  <c r="D249" i="12"/>
  <c r="E249" i="12"/>
  <c r="H252" i="11"/>
  <c r="D248" i="5" l="1"/>
  <c r="F248" i="5"/>
  <c r="E248" i="5"/>
  <c r="C249" i="5"/>
  <c r="C250" i="12"/>
  <c r="F250" i="12"/>
  <c r="G250" i="12"/>
  <c r="D250" i="12"/>
  <c r="E250" i="12"/>
  <c r="H249" i="12"/>
  <c r="E255" i="11"/>
  <c r="H253" i="11"/>
  <c r="D249" i="5" l="1"/>
  <c r="H250" i="12"/>
  <c r="E256" i="11"/>
  <c r="C250" i="5"/>
  <c r="D250" i="5" s="1"/>
  <c r="C251" i="12"/>
  <c r="F251" i="12"/>
  <c r="G251" i="12"/>
  <c r="D251" i="12"/>
  <c r="E251" i="12"/>
  <c r="H254" i="11"/>
  <c r="C251" i="5" l="1"/>
  <c r="E251" i="5" s="1"/>
  <c r="C252" i="12"/>
  <c r="F252" i="12"/>
  <c r="G252" i="12"/>
  <c r="D252" i="12"/>
  <c r="E252" i="12"/>
  <c r="E257" i="11"/>
  <c r="H251" i="12"/>
  <c r="H255" i="11"/>
  <c r="C252" i="5" l="1"/>
  <c r="C253" i="12"/>
  <c r="F253" i="12"/>
  <c r="G253" i="12"/>
  <c r="D253" i="12"/>
  <c r="E253" i="12"/>
  <c r="H252" i="12"/>
  <c r="D251" i="5"/>
  <c r="H257" i="11"/>
  <c r="H256" i="11"/>
  <c r="H253" i="12" l="1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D254" i="5" l="1"/>
  <c r="G254" i="5"/>
  <c r="F254" i="5"/>
  <c r="H254" i="12"/>
  <c r="E254" i="5"/>
  <c r="D253" i="5"/>
  <c r="H254" i="5"/>
  <c r="H25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<sst xmlns="http://schemas.openxmlformats.org/spreadsheetml/2006/main" count="1194" uniqueCount="134">
  <si>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</si>
  <si>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</si>
  <si>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</si>
  <si>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</si>
  <si>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</si>
  <si>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</si>
  <si>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</si>
  <si>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</si>
  <si>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</si>
  <si>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</si>
  <si>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</si>
  <si>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</si>
  <si>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</si>
  <si>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</si>
  <si>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</si>
  <si>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</si>
  <si>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</si>
  <si>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</si>
  <si>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</si>
  <si>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</si>
  <si>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</si>
  <si>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</si>
  <si>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</si>
  <si>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</si>
  <si>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</si>
  <si>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</si>
  <si>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</si>
  <si>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</si>
  <si>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</si>
  <si>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</si>
  <si>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</si>
  <si>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</si>
  <si>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</si>
  <si>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</si>
  <si>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</si>
  <si>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</si>
  <si>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</si>
  <si>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</si>
  <si>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</si>
  <si>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</si>
  <si>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</si>
  <si>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</si>
  <si>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</si>
  <si>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</si>
  <si>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</si>
  <si>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</si>
  <si>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</si>
  <si>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</si>
  <si>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</si>
  <si>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</si>
  <si>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</si>
  <si>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</si>
  <si>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</si>
  <si>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</si>
  <si>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</si>
  <si>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</si>
  <si>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</si>
  <si>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</si>
  <si>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</si>
  <si>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</si>
  <si>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</si>
  <si>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</si>
  <si>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</si>
  <si>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</si>
  <si>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</si>
  <si>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</si>
  <si>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</si>
  <si>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</si>
  <si>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</si>
  <si>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</si>
  <si>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</si>
  <si>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</si>
  <si>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</si>
  <si>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</si>
  <si>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</si>
  <si>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</si>
  <si>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</si>
  <si>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</si>
  <si>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</si>
  <si>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</si>
  <si>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</si>
  <si>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</si>
  <si>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</si>
  <si>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</si>
  <si>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</si>
  <si>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</si>
  <si>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</si>
  <si>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</si>
  <si>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</si>
  <si>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</si>
  <si>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</si>
  <si>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</si>
  <si>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</si>
  <si>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</si>
  <si>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</si>
  <si>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</si>
  <si>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</si>
  <si>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</si>
  <si>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</si>
  <si>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</si>
  <si>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</si>
  <si>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</si>
  <si>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</si>
  <si>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</si>
  <si>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</si>
  <si>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</si>
  <si>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</si>
  <si>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</si>
  <si>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</si>
  <si>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</si>
  <si>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</si>
  <si>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</si>
  <si>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</si>
  <si>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</si>
  <si>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</si>
  <si>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</si>
  <si>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</si>
  <si>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</si>
  <si>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</si>
  <si>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</si>
  <si>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 xml:space="preserve">Indeks for prisudviklingen for RME er baseret på et svensk RME-indeks, der offentliggøres på http://www.svenskkollektivtrafik.se/partnersamverkan/index/ 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</si>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</sst>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166" fontId="2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7" xfId="8" applyBorder="1"/>
    <xf numFmtId="9" fontId="4" fillId="0" borderId="8" xfId="8" applyNumberFormat="1" applyFont="1" applyBorder="1"/>
    <xf numFmtId="0" fontId="2" fillId="0" borderId="9" xfId="8" applyBorder="1"/>
    <xf numFmtId="0" fontId="2" fillId="0" borderId="0" xfId="8"/>
    <xf numFmtId="0" fontId="2" fillId="0" borderId="10" xfId="8" applyBorder="1"/>
    <xf numFmtId="0" fontId="2" fillId="0" borderId="11" xfId="8" applyBorder="1"/>
    <xf numFmtId="0" fontId="2" fillId="0" borderId="6" xfId="8" applyBorder="1"/>
    <xf numFmtId="167" fontId="2" fillId="0" borderId="0" xfId="10" applyNumberFormat="1" applyFont="1" applyBorder="1"/>
    <xf numFmtId="9" fontId="2" fillId="0" borderId="0" xfId="9" applyFont="1" applyBorder="1"/>
    <xf numFmtId="167" fontId="2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2" fillId="0" borderId="3" xfId="8" applyBorder="1"/>
    <xf numFmtId="0" fontId="0" fillId="0" borderId="15" xfId="0" applyBorder="1"/>
    <xf numFmtId="0" fontId="2" fillId="0" borderId="0" xfId="0" applyFont="1" applyAlignment="1">
      <alignment vertical="top"/>
    </xf>
    <xf numFmtId="0" fontId="7" fillId="9" borderId="2" xfId="0" applyFont="1" applyFill="1" applyBorder="1"/>
    <xf numFmtId="166" fontId="2" fillId="10" borderId="2" xfId="0" applyNumberFormat="1" applyFont="1" applyFill="1" applyBorder="1"/>
    <xf numFmtId="167" fontId="2" fillId="10" borderId="2" xfId="0" applyNumberFormat="1" applyFont="1" applyFill="1" applyBorder="1"/>
    <xf numFmtId="167" fontId="2" fillId="10" borderId="0" xfId="0" applyNumberFormat="1" applyFont="1" applyFill="1"/>
    <xf numFmtId="0" fontId="16" fillId="9" borderId="2" xfId="0" applyFont="1" applyFill="1" applyBorder="1"/>
    <xf numFmtId="9" fontId="4" fillId="0" borderId="5" xfId="8" applyNumberFormat="1" applyFont="1" applyBorder="1"/>
    <xf numFmtId="9" fontId="2" fillId="0" borderId="12" xfId="9" applyFont="1" applyBorder="1"/>
    <xf numFmtId="0" fontId="20" fillId="0" borderId="0" xfId="3" applyAlignment="1" applyProtection="1">
      <alignment wrapText="1"/>
    </xf>
    <xf numFmtId="0" fontId="4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4" fillId="9" borderId="10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16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4" fillId="9" borderId="7" xfId="0" applyFont="1" applyFill="1" applyBorder="1"/>
    <xf numFmtId="0" fontId="4" fillId="9" borderId="7" xfId="8" applyFont="1" applyFill="1" applyBorder="1"/>
    <xf numFmtId="166" fontId="2" fillId="0" borderId="9" xfId="8" applyNumberFormat="1" applyBorder="1"/>
    <xf numFmtId="166" fontId="2" fillId="0" borderId="6" xfId="8" applyNumberFormat="1" applyBorder="1"/>
    <xf numFmtId="166" fontId="4" fillId="9" borderId="9" xfId="8" applyNumberFormat="1" applyFont="1" applyFill="1" applyBorder="1"/>
    <xf numFmtId="0" fontId="2" fillId="0" borderId="5" xfId="8" applyBorder="1"/>
    <xf numFmtId="9" fontId="4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2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8" fillId="0" borderId="0" xfId="0" applyFont="1"/>
    <xf numFmtId="0" fontId="26" fillId="0" borderId="0" xfId="4"/>
    <xf numFmtId="0" fontId="27" fillId="0" borderId="0" xfId="0" applyFont="1"/>
    <xf numFmtId="2" fontId="27" fillId="0" borderId="0" xfId="0" applyNumberFormat="1" applyFont="1"/>
    <xf numFmtId="9" fontId="0" fillId="0" borderId="0" xfId="9" applyFont="1"/>
    <xf numFmtId="0" fontId="2" fillId="0" borderId="4" xfId="0" applyFont="1" applyBorder="1"/>
    <xf numFmtId="166" fontId="2" fillId="0" borderId="4" xfId="0" applyNumberFormat="1" applyFont="1" applyBorder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6" fontId="2" fillId="0" borderId="2" xfId="0" applyNumberFormat="1" applyFont="1" applyBorder="1"/>
    <xf numFmtId="10" fontId="2" fillId="0" borderId="0" xfId="0" applyNumberFormat="1" applyFont="1" applyAlignment="1">
      <alignment horizontal="right"/>
    </xf>
    <xf numFmtId="165" fontId="2" fillId="0" borderId="0" xfId="1" applyFont="1"/>
    <xf numFmtId="167" fontId="2" fillId="0" borderId="0" xfId="0" applyNumberFormat="1" applyFont="1" applyAlignment="1">
      <alignment horizontal="center"/>
    </xf>
    <xf numFmtId="167" fontId="2" fillId="0" borderId="1" xfId="0" applyNumberFormat="1" applyFont="1" applyBorder="1"/>
    <xf numFmtId="167" fontId="2" fillId="0" borderId="0" xfId="0" applyNumberFormat="1" applyFont="1"/>
    <xf numFmtId="167" fontId="0" fillId="0" borderId="0" xfId="10" applyNumberFormat="1" applyFont="1" applyBorder="1"/>
    <xf numFmtId="166" fontId="4" fillId="0" borderId="4" xfId="0" applyNumberFormat="1" applyFont="1" applyBorder="1"/>
    <xf numFmtId="0" fontId="30" fillId="0" borderId="0" xfId="0" applyFont="1"/>
    <xf numFmtId="0" fontId="30" fillId="0" borderId="14" xfId="0" applyFont="1" applyBorder="1"/>
    <xf numFmtId="2" fontId="2" fillId="0" borderId="7" xfId="8" applyNumberFormat="1" applyBorder="1"/>
    <xf numFmtId="165" fontId="2" fillId="0" borderId="9" xfId="1" applyFont="1" applyBorder="1"/>
    <xf numFmtId="2" fontId="2" fillId="0" borderId="9" xfId="8" applyNumberFormat="1" applyBorder="1"/>
    <xf numFmtId="0" fontId="30" fillId="0" borderId="0" xfId="0" applyFont="1" applyAlignment="1">
      <alignment horizontal="left"/>
    </xf>
    <xf numFmtId="2" fontId="30" fillId="0" borderId="0" xfId="0" applyNumberFormat="1" applyFont="1" applyAlignment="1">
      <alignment horizontal="left"/>
    </xf>
    <xf numFmtId="167" fontId="4" fillId="0" borderId="10" xfId="10" applyNumberFormat="1" applyFont="1" applyBorder="1"/>
    <xf numFmtId="167" fontId="4" fillId="0" borderId="9" xfId="9" applyNumberFormat="1" applyFont="1" applyBorder="1"/>
    <xf numFmtId="0" fontId="22" fillId="9" borderId="2" xfId="0" applyFont="1" applyFill="1" applyBorder="1" applyAlignment="1">
      <alignment horizontal="center"/>
    </xf>
    <xf numFmtId="0" fontId="31" fillId="0" borderId="0" xfId="0" applyFont="1"/>
    <xf numFmtId="14" fontId="2" fillId="8" borderId="0" xfId="0" applyNumberFormat="1" applyFont="1" applyFill="1"/>
    <xf numFmtId="2" fontId="10" fillId="8" borderId="0" xfId="0" applyNumberFormat="1" applyFont="1" applyFill="1" applyAlignment="1">
      <alignment horizontal="left"/>
    </xf>
    <xf numFmtId="2" fontId="2" fillId="8" borderId="18" xfId="0" applyNumberFormat="1" applyFont="1" applyFill="1" applyBorder="1"/>
    <xf numFmtId="167" fontId="4" fillId="0" borderId="10" xfId="9" applyNumberFormat="1" applyFont="1" applyBorder="1"/>
    <xf numFmtId="14" fontId="2" fillId="0" borderId="0" xfId="0" applyNumberFormat="1" applyFont="1"/>
    <xf numFmtId="166" fontId="29" fillId="3" borderId="0" xfId="0" applyNumberFormat="1" applyFont="1" applyFill="1"/>
    <xf numFmtId="166" fontId="29" fillId="3" borderId="1" xfId="0" applyNumberFormat="1" applyFont="1" applyFill="1" applyBorder="1"/>
    <xf numFmtId="0" fontId="32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2" fillId="8" borderId="1" xfId="0" applyNumberFormat="1" applyFont="1" applyFill="1" applyBorder="1"/>
    <xf numFmtId="166" fontId="2" fillId="9" borderId="0" xfId="0" applyNumberFormat="1" applyFont="1" applyFill="1"/>
    <xf numFmtId="166" fontId="2" fillId="9" borderId="1" xfId="0" applyNumberFormat="1" applyFont="1" applyFill="1" applyBorder="1"/>
    <xf numFmtId="0" fontId="2" fillId="8" borderId="0" xfId="0" applyFont="1" applyFill="1"/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66" fontId="2" fillId="11" borderId="0" xfId="0" applyNumberFormat="1" applyFont="1" applyFill="1"/>
    <xf numFmtId="167" fontId="0" fillId="11" borderId="0" xfId="0" applyNumberFormat="1" applyFill="1"/>
    <xf numFmtId="167" fontId="2" fillId="11" borderId="0" xfId="0" applyNumberFormat="1" applyFont="1" applyFill="1"/>
    <xf numFmtId="166" fontId="33" fillId="3" borderId="0" xfId="1" applyNumberFormat="1" applyFont="1" applyFill="1" applyBorder="1" applyAlignment="1">
      <alignment horizontal="center"/>
    </xf>
    <xf numFmtId="166" fontId="33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/>
    <xf numFmtId="0" fontId="34" fillId="12" borderId="0" xfId="0" applyFont="1" applyFill="1"/>
    <xf numFmtId="166" fontId="29" fillId="12" borderId="0" xfId="0" applyNumberFormat="1" applyFont="1" applyFill="1"/>
    <xf numFmtId="167" fontId="29" fillId="12" borderId="4" xfId="0" applyNumberFormat="1" applyFont="1" applyFill="1" applyBorder="1"/>
    <xf numFmtId="166" fontId="29" fillId="12" borderId="4" xfId="0" applyNumberFormat="1" applyFont="1" applyFill="1" applyBorder="1"/>
    <xf numFmtId="0" fontId="35" fillId="0" borderId="0" xfId="0" applyFont="1"/>
    <xf numFmtId="0" fontId="34" fillId="0" borderId="0" xfId="0" applyFont="1"/>
    <xf numFmtId="166" fontId="29" fillId="0" borderId="0" xfId="0" applyNumberFormat="1" applyFont="1"/>
    <xf numFmtId="167" fontId="29" fillId="0" borderId="0" xfId="0" applyNumberFormat="1" applyFont="1"/>
    <xf numFmtId="172" fontId="0" fillId="0" borderId="0" xfId="1" applyNumberFormat="1" applyFont="1"/>
    <xf numFmtId="0" fontId="35" fillId="12" borderId="1" xfId="0" applyFont="1" applyFill="1" applyBorder="1"/>
    <xf numFmtId="0" fontId="29" fillId="12" borderId="1" xfId="0" applyFont="1" applyFill="1" applyBorder="1"/>
    <xf numFmtId="166" fontId="29" fillId="12" borderId="1" xfId="0" applyNumberFormat="1" applyFont="1" applyFill="1" applyBorder="1"/>
    <xf numFmtId="167" fontId="29" fillId="12" borderId="1" xfId="0" applyNumberFormat="1" applyFont="1" applyFill="1" applyBorder="1"/>
    <xf numFmtId="0" fontId="36" fillId="0" borderId="0" xfId="0" applyFont="1"/>
    <xf numFmtId="166" fontId="2" fillId="9" borderId="3" xfId="0" applyNumberFormat="1" applyFont="1" applyFill="1" applyBorder="1"/>
    <xf numFmtId="0" fontId="35" fillId="12" borderId="0" xfId="0" applyFont="1" applyFill="1"/>
    <xf numFmtId="0" fontId="36" fillId="12" borderId="0" xfId="0" applyFont="1" applyFill="1"/>
    <xf numFmtId="167" fontId="29" fillId="12" borderId="0" xfId="0" applyNumberFormat="1" applyFont="1" applyFill="1"/>
    <xf numFmtId="0" fontId="35" fillId="0" borderId="1" xfId="0" applyFont="1" applyBorder="1"/>
    <xf numFmtId="0" fontId="36" fillId="0" borderId="1" xfId="0" applyFont="1" applyBorder="1"/>
    <xf numFmtId="166" fontId="29" fillId="0" borderId="1" xfId="0" applyNumberFormat="1" applyFont="1" applyBorder="1"/>
    <xf numFmtId="167" fontId="29" fillId="0" borderId="1" xfId="0" applyNumberFormat="1" applyFont="1" applyBorder="1"/>
    <xf numFmtId="0" fontId="36" fillId="12" borderId="1" xfId="0" applyFont="1" applyFill="1" applyBorder="1"/>
    <xf numFmtId="0" fontId="35" fillId="0" borderId="2" xfId="0" applyFont="1" applyBorder="1"/>
    <xf numFmtId="0" fontId="36" fillId="0" borderId="2" xfId="0" applyFont="1" applyBorder="1"/>
    <xf numFmtId="0" fontId="35" fillId="0" borderId="3" xfId="0" applyFont="1" applyBorder="1"/>
    <xf numFmtId="0" fontId="36" fillId="0" borderId="3" xfId="0" applyFont="1" applyBorder="1"/>
    <xf numFmtId="166" fontId="29" fillId="11" borderId="3" xfId="0" applyNumberFormat="1" applyFont="1" applyFill="1" applyBorder="1"/>
    <xf numFmtId="167" fontId="36" fillId="11" borderId="3" xfId="0" applyNumberFormat="1" applyFont="1" applyFill="1" applyBorder="1"/>
    <xf numFmtId="167" fontId="29" fillId="11" borderId="3" xfId="0" applyNumberFormat="1" applyFont="1" applyFill="1" applyBorder="1"/>
    <xf numFmtId="0" fontId="2" fillId="0" borderId="1" xfId="0" applyFont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33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20" fillId="0" borderId="0" xfId="3" applyAlignment="1" applyProtection="1">
      <alignment horizontal="left" vertical="top" wrapText="1"/>
    </xf>
    <xf numFmtId="0" fontId="2" fillId="0" borderId="0" xfId="0" applyFont="1" applyAlignment="1">
      <alignment vertical="top" wrapText="1"/>
    </xf>
    <xf numFmtId="0" fontId="22" fillId="9" borderId="2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5">
    <cellStyle name="Komma" xfId="1" builtinId="3"/>
    <cellStyle name="Komma 2" xfId="2" xr:uid="{00000000-0005-0000-0000-000001000000}"/>
    <cellStyle name="Komma 2 2" xfId="12" xr:uid="{00000000-0005-0000-0000-000002000000}"/>
    <cellStyle name="Komma 3" xfId="11" xr:uid="{00000000-0005-0000-0000-000003000000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57" totalsRowShown="0" headerRowDxfId="14">
  <autoFilter ref="A3:K257" xr:uid="{00000000-0009-0000-0100-000001000000}">
    <filterColumn colId="0">
      <filters>
        <filter val="2022"/>
        <filter val="2023"/>
        <filter val="2024"/>
        <filter val="2025"/>
        <filter val="År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55" totalsRowShown="0" headerRowDxfId="11">
  <autoFilter ref="A3:H255" xr:uid="{00000000-0009-0000-0100-000002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18"/>
        <filter val="2019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64"/>
  <sheetViews>
    <sheetView tabSelected="1" topLeftCell="A225" zoomScaleNormal="100" workbookViewId="0">
      <selection activeCell="D244" sqref="D24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10.85546875" hidden="1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3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69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68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x14ac:dyDescent="0.2">
      <c r="A185" t="s">
        <v>1</v>
      </c>
      <c r="B185" t="s">
        <v>2</v>
      </c>
      <c r="C185" s="2" t="s">
        <v>3</v>
      </c>
      <c r="D185" s="26" t="s">
        <v>118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v>2022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v>2022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1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0">
        <v>2022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2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v>2022</v>
      </c>
      <c r="B226" t="s">
        <v>12</v>
      </c>
      <c r="C226" s="98">
        <f t="shared" ref="C226:C227" si="43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2"/>
        <v>139.81177723004694</v>
      </c>
    </row>
    <row r="227" spans="1:13 16257:16328" ht="15.75" thickBot="1" x14ac:dyDescent="0.25">
      <c r="A227" s="29">
        <v>2022</v>
      </c>
      <c r="B227" s="30" t="s">
        <v>13</v>
      </c>
      <c r="C227" s="103">
        <f t="shared" si="43"/>
        <v>150.90894</v>
      </c>
      <c r="D227" s="272">
        <v>240.6</v>
      </c>
      <c r="E227" s="146">
        <f>131/99.8*117.6</f>
        <v>154.36472945891785</v>
      </c>
      <c r="F227" s="131">
        <f>+F$173*(123/103.6)</f>
        <v>124.69468822300382</v>
      </c>
      <c r="G227" s="104">
        <v>3.35</v>
      </c>
      <c r="H227" s="88">
        <f t="shared" ref="H227" si="44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17">
        <v>2022</v>
      </c>
      <c r="B228" s="212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5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v>2022</v>
      </c>
      <c r="B229" t="s">
        <v>14</v>
      </c>
      <c r="C229" s="98">
        <f t="shared" ref="C229:C230" si="46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7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v>2022</v>
      </c>
      <c r="B230" s="13" t="s">
        <v>15</v>
      </c>
      <c r="C230" s="101">
        <f t="shared" si="46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8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v>2022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49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v>2022</v>
      </c>
      <c r="B232" t="s">
        <v>17</v>
      </c>
      <c r="C232" s="98">
        <f t="shared" ref="C232:C233" si="50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1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v>2022</v>
      </c>
      <c r="B233" s="30" t="s">
        <v>18</v>
      </c>
      <c r="C233" s="103">
        <f t="shared" si="50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2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3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v>2022</v>
      </c>
      <c r="B235" s="120" t="s">
        <v>9</v>
      </c>
      <c r="C235" s="98">
        <f t="shared" ref="C235:C236" si="54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5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v>2022</v>
      </c>
      <c r="B236" s="13" t="s">
        <v>10</v>
      </c>
      <c r="C236" s="101">
        <f t="shared" si="54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6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v>2022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7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v>2022</v>
      </c>
      <c r="B238" t="s">
        <v>12</v>
      </c>
      <c r="C238" s="98">
        <f t="shared" ref="C238:C239" si="58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59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.75" thickBot="1" x14ac:dyDescent="0.25">
      <c r="A239" s="12">
        <v>2022</v>
      </c>
      <c r="B239" s="13" t="s">
        <v>13</v>
      </c>
      <c r="C239" s="103">
        <f t="shared" si="58"/>
        <v>156.36348000000001</v>
      </c>
      <c r="D239" s="272">
        <v>256.39999999999998</v>
      </c>
      <c r="E239" s="146">
        <f>131/99.8*118.5</f>
        <v>155.54609218436875</v>
      </c>
      <c r="F239" s="131">
        <f>+F$173*(122.7/103.6)</f>
        <v>124.39055483709409</v>
      </c>
      <c r="G239" s="104">
        <v>3.43</v>
      </c>
      <c r="H239" s="88">
        <f t="shared" ref="H239:H246" si="60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17">
        <v>2022</v>
      </c>
      <c r="B240" s="212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1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v>2022</v>
      </c>
      <c r="B241" t="s">
        <v>14</v>
      </c>
      <c r="C241" s="98">
        <f t="shared" ref="C241:C243" si="62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3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v>2022</v>
      </c>
      <c r="B242" s="13" t="s">
        <v>15</v>
      </c>
      <c r="C242" s="101">
        <f t="shared" si="62"/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4">100+((C242-$C$40)/$C$40*100*$C$2)+((D242-$D$40)/$D$40*100*$D$2)+((E242-$E$40)/$E$40*100*$E$2)+((F242-$F$40)/$F$40*100*$F$2)+((G242-$G$40)/$G$40*100*$G$2)</f>
        <v>145.53781173225281</v>
      </c>
      <c r="M242" s="292"/>
    </row>
    <row r="243" spans="1:13" ht="15" x14ac:dyDescent="0.2">
      <c r="A243" s="10">
        <v>2022</v>
      </c>
      <c r="B243" t="s">
        <v>16</v>
      </c>
      <c r="C243" s="98">
        <f>158.9*1.0101</f>
        <v>160.50489000000002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5">100+((C243-$C$40)/$C$40*100*$C$2)+((D243-$D$40)/$D$40*100*$D$2)+((E243-$E$40)/$E$40*100*$E$2)+((F243-$F$40)/$F$40*100*$F$2)+((G243-$G$40)/$G$40*100*$G$2)</f>
        <v>144.83091926540959</v>
      </c>
      <c r="M243" s="292"/>
    </row>
    <row r="244" spans="1:13" ht="15" x14ac:dyDescent="0.2">
      <c r="A244" s="10">
        <v>2022</v>
      </c>
      <c r="B244" t="s">
        <v>17</v>
      </c>
      <c r="C244" s="98">
        <f t="shared" ref="C244:C245" si="66">158.9*1.0101</f>
        <v>160.50489000000002</v>
      </c>
      <c r="D244" s="106">
        <f t="shared" ref="D243:D257" si="67">D243</f>
        <v>250.8</v>
      </c>
      <c r="E244" s="106">
        <f t="shared" ref="E243:E245" si="68">E243*(1+(((SUM(E$222:E$233)-SUM(E$210:E$221))/SUM(E$210:E$221))/12))</f>
        <v>157.20168522168839</v>
      </c>
      <c r="F244" s="106">
        <f t="shared" ref="F243:F245" si="69">F243*(1+(((SUM(F$222:F$233)-SUM(F$210:F$221))/SUM(F$210:F$221))/12))</f>
        <v>125.99083599595068</v>
      </c>
      <c r="G244" s="69">
        <f t="shared" ref="G243:G257" si="70">+G243</f>
        <v>3.05</v>
      </c>
      <c r="H244" s="255">
        <f t="shared" si="60"/>
        <v>144.93661644343294</v>
      </c>
      <c r="M244" s="292"/>
    </row>
    <row r="245" spans="1:13" ht="15.75" thickBot="1" x14ac:dyDescent="0.25">
      <c r="A245" s="29">
        <v>2022</v>
      </c>
      <c r="B245" s="30" t="s">
        <v>18</v>
      </c>
      <c r="C245" s="103">
        <f t="shared" si="66"/>
        <v>160.50489000000002</v>
      </c>
      <c r="D245" s="289">
        <f t="shared" si="67"/>
        <v>250.8</v>
      </c>
      <c r="E245" s="289">
        <f t="shared" si="68"/>
        <v>157.80951924947513</v>
      </c>
      <c r="F245" s="289">
        <f t="shared" si="69"/>
        <v>126.68249328688482</v>
      </c>
      <c r="G245" s="290">
        <f t="shared" si="70"/>
        <v>3.05</v>
      </c>
      <c r="H245" s="291">
        <f t="shared" si="60"/>
        <v>145.04282579842561</v>
      </c>
      <c r="M245" s="292"/>
    </row>
    <row r="246" spans="1:13" ht="15" x14ac:dyDescent="0.2">
      <c r="A246" s="2">
        <v>2025</v>
      </c>
      <c r="B246" s="120" t="s">
        <v>8</v>
      </c>
      <c r="C246" s="106">
        <f>C243*(1+(((SUM(C$234:C$245)-SUM(C$222:C$233))/SUM(C$222:C$233))/4))</f>
        <v>162.06312497375001</v>
      </c>
      <c r="D246" s="106">
        <f t="shared" si="67"/>
        <v>250.8</v>
      </c>
      <c r="E246" s="106">
        <f>E245*(1+(((SUM(E$234:E$245)-SUM(E$222:E$233))/SUM(E$222:E$233))/12))</f>
        <v>157.97973670749187</v>
      </c>
      <c r="F246" s="106">
        <f>F245*(1+(((SUM(F$234:F$245)-SUM(F$222:F$233))/SUM(F$222:F$233))/12))</f>
        <v>126.70853005927999</v>
      </c>
      <c r="G246" s="69">
        <f t="shared" si="70"/>
        <v>3.05</v>
      </c>
      <c r="H246" s="255">
        <f t="shared" si="60"/>
        <v>145.9179323477147</v>
      </c>
      <c r="M246" s="292"/>
    </row>
    <row r="247" spans="1:13" ht="15" x14ac:dyDescent="0.2">
      <c r="A247" s="10">
        <v>2022</v>
      </c>
      <c r="B247" s="120" t="s">
        <v>9</v>
      </c>
      <c r="C247" s="106">
        <f t="shared" ref="C247:C257" si="71">C244*(1+(((SUM(C$234:C$245)-SUM(C$222:C$233))/SUM(C$222:C$233))/4))</f>
        <v>162.06312497375001</v>
      </c>
      <c r="D247" s="106">
        <f t="shared" si="67"/>
        <v>250.8</v>
      </c>
      <c r="E247" s="106">
        <f t="shared" ref="E247:E257" si="72">E246*(1+(((SUM(E$234:E$245)-SUM(E$222:E$233))/SUM(E$222:E$233))/12))</f>
        <v>158.15013776649255</v>
      </c>
      <c r="F247" s="106">
        <f t="shared" ref="F247:F257" si="73">F246*(1+(((SUM(F$234:F$245)-SUM(F$222:F$233))/SUM(F$222:F$233))/12))</f>
        <v>126.73457218295535</v>
      </c>
      <c r="G247" s="69">
        <f t="shared" si="70"/>
        <v>3.05</v>
      </c>
      <c r="H247" s="255">
        <f t="shared" ref="H247:H257" si="74">100+((C247-$C$40)/$C$40*100*$C$2)+((D247-$D$40)/$D$40*100*$D$2)+((E247-$E$40)/$E$40*100*$E$2)+((F247-$F$40)/$F$40*100*$F$2)+((G247-$G$40)/$G$40*100*$G$2)</f>
        <v>145.93214880953985</v>
      </c>
      <c r="M247" s="292"/>
    </row>
    <row r="248" spans="1:13" ht="15" x14ac:dyDescent="0.2">
      <c r="A248" s="12">
        <v>2022</v>
      </c>
      <c r="B248" s="13" t="s">
        <v>10</v>
      </c>
      <c r="C248" s="107">
        <f t="shared" si="71"/>
        <v>162.06312497375001</v>
      </c>
      <c r="D248" s="107">
        <f t="shared" si="67"/>
        <v>250.8</v>
      </c>
      <c r="E248" s="107">
        <f t="shared" si="72"/>
        <v>158.32072262451402</v>
      </c>
      <c r="F248" s="107">
        <f t="shared" si="73"/>
        <v>126.76061965901073</v>
      </c>
      <c r="G248" s="70">
        <f t="shared" si="70"/>
        <v>3.05</v>
      </c>
      <c r="H248" s="256">
        <f t="shared" si="74"/>
        <v>145.94637849813424</v>
      </c>
      <c r="M248" s="292"/>
    </row>
    <row r="249" spans="1:13" ht="15" x14ac:dyDescent="0.2">
      <c r="A249" s="17">
        <v>2022</v>
      </c>
      <c r="B249" s="18" t="s">
        <v>11</v>
      </c>
      <c r="C249" s="106">
        <f t="shared" si="71"/>
        <v>163.63648781203682</v>
      </c>
      <c r="D249" s="108">
        <f t="shared" si="67"/>
        <v>250.8</v>
      </c>
      <c r="E249" s="106">
        <f t="shared" si="72"/>
        <v>158.49149147980665</v>
      </c>
      <c r="F249" s="106">
        <f t="shared" si="73"/>
        <v>126.7866724885462</v>
      </c>
      <c r="G249" s="105">
        <f t="shared" si="70"/>
        <v>3.05</v>
      </c>
      <c r="H249" s="255">
        <f t="shared" si="74"/>
        <v>146.82988266395401</v>
      </c>
      <c r="M249" s="292"/>
    </row>
    <row r="250" spans="1:13" ht="15" x14ac:dyDescent="0.2">
      <c r="A250" s="10">
        <v>2022</v>
      </c>
      <c r="B250" t="s">
        <v>12</v>
      </c>
      <c r="C250" s="106">
        <f t="shared" si="71"/>
        <v>163.63648781203682</v>
      </c>
      <c r="D250" s="106">
        <f t="shared" si="67"/>
        <v>250.8</v>
      </c>
      <c r="E250" s="106">
        <f t="shared" si="72"/>
        <v>158.66244453083473</v>
      </c>
      <c r="F250" s="106">
        <f t="shared" si="73"/>
        <v>126.81273067266206</v>
      </c>
      <c r="G250" s="69">
        <f t="shared" si="70"/>
        <v>3.05</v>
      </c>
      <c r="H250" s="255">
        <f t="shared" si="74"/>
        <v>146.84413884760249</v>
      </c>
      <c r="M250" s="292"/>
    </row>
    <row r="251" spans="1:13" ht="15" x14ac:dyDescent="0.2">
      <c r="A251" s="12">
        <v>2022</v>
      </c>
      <c r="B251" s="13" t="s">
        <v>13</v>
      </c>
      <c r="C251" s="107">
        <f t="shared" si="71"/>
        <v>163.63648781203682</v>
      </c>
      <c r="D251" s="107">
        <f t="shared" si="67"/>
        <v>250.8</v>
      </c>
      <c r="E251" s="107">
        <f t="shared" si="72"/>
        <v>158.83358197627658</v>
      </c>
      <c r="F251" s="107">
        <f t="shared" si="73"/>
        <v>126.83879421245881</v>
      </c>
      <c r="G251" s="70">
        <f t="shared" si="70"/>
        <v>3.05</v>
      </c>
      <c r="H251" s="256">
        <f t="shared" si="74"/>
        <v>146.85840829956553</v>
      </c>
      <c r="M251" s="292"/>
    </row>
    <row r="252" spans="1:13" ht="15" x14ac:dyDescent="0.2">
      <c r="A252" s="17">
        <v>2022</v>
      </c>
      <c r="B252" s="212" t="s">
        <v>30</v>
      </c>
      <c r="C252" s="106">
        <f t="shared" si="71"/>
        <v>165.225125381212</v>
      </c>
      <c r="D252" s="106">
        <f t="shared" si="67"/>
        <v>250.8</v>
      </c>
      <c r="E252" s="106">
        <f t="shared" si="72"/>
        <v>159.00490401502478</v>
      </c>
      <c r="F252" s="106">
        <f t="shared" si="73"/>
        <v>126.86486310903719</v>
      </c>
      <c r="G252" s="69">
        <f t="shared" si="70"/>
        <v>3.05</v>
      </c>
      <c r="H252" s="255">
        <f t="shared" si="74"/>
        <v>147.75039134818266</v>
      </c>
      <c r="M252" s="292"/>
    </row>
    <row r="253" spans="1:13" ht="15" x14ac:dyDescent="0.2">
      <c r="A253" s="10">
        <v>2022</v>
      </c>
      <c r="B253" t="s">
        <v>14</v>
      </c>
      <c r="C253" s="106">
        <f t="shared" si="71"/>
        <v>165.225125381212</v>
      </c>
      <c r="D253" s="106">
        <f t="shared" si="67"/>
        <v>250.8</v>
      </c>
      <c r="E253" s="106">
        <f t="shared" si="72"/>
        <v>159.17641084618649</v>
      </c>
      <c r="F253" s="106">
        <f t="shared" si="73"/>
        <v>126.89093736349817</v>
      </c>
      <c r="G253" s="69">
        <f t="shared" si="70"/>
        <v>3.05</v>
      </c>
      <c r="H253" s="255">
        <f t="shared" si="74"/>
        <v>147.76468737842404</v>
      </c>
      <c r="M253" s="292"/>
    </row>
    <row r="254" spans="1:13" ht="15" x14ac:dyDescent="0.2">
      <c r="A254" s="12">
        <v>2022</v>
      </c>
      <c r="B254" s="13" t="s">
        <v>15</v>
      </c>
      <c r="C254" s="107">
        <f t="shared" si="71"/>
        <v>165.225125381212</v>
      </c>
      <c r="D254" s="107">
        <f t="shared" si="67"/>
        <v>250.8</v>
      </c>
      <c r="E254" s="107">
        <f t="shared" si="72"/>
        <v>159.34810266908363</v>
      </c>
      <c r="F254" s="107">
        <f t="shared" si="73"/>
        <v>126.91701697694295</v>
      </c>
      <c r="G254" s="70">
        <f t="shared" si="70"/>
        <v>3.05</v>
      </c>
      <c r="H254" s="256">
        <f t="shared" si="74"/>
        <v>147.77899671865902</v>
      </c>
      <c r="M254" s="292"/>
    </row>
    <row r="255" spans="1:13" ht="15" x14ac:dyDescent="0.2">
      <c r="A255" s="10">
        <v>2022</v>
      </c>
      <c r="B255" t="s">
        <v>16</v>
      </c>
      <c r="C255" s="106">
        <f t="shared" si="71"/>
        <v>166.82918597345457</v>
      </c>
      <c r="D255" s="106">
        <f t="shared" si="67"/>
        <v>250.8</v>
      </c>
      <c r="E255" s="106">
        <f t="shared" si="72"/>
        <v>159.5199796832531</v>
      </c>
      <c r="F255" s="106">
        <f t="shared" si="73"/>
        <v>126.94310195047294</v>
      </c>
      <c r="G255" s="69">
        <f t="shared" si="70"/>
        <v>3.05</v>
      </c>
      <c r="H255" s="255">
        <f t="shared" si="74"/>
        <v>148.67954070449142</v>
      </c>
      <c r="M255" s="292"/>
    </row>
    <row r="256" spans="1:13" ht="15" x14ac:dyDescent="0.2">
      <c r="A256" s="10">
        <v>2022</v>
      </c>
      <c r="B256" t="s">
        <v>17</v>
      </c>
      <c r="C256" s="106">
        <f t="shared" si="71"/>
        <v>166.82918597345457</v>
      </c>
      <c r="D256" s="106">
        <f t="shared" si="67"/>
        <v>250.8</v>
      </c>
      <c r="E256" s="106">
        <f t="shared" si="72"/>
        <v>159.69204208844704</v>
      </c>
      <c r="F256" s="106">
        <f t="shared" si="73"/>
        <v>126.96919228518979</v>
      </c>
      <c r="G256" s="69">
        <f t="shared" si="70"/>
        <v>3.05</v>
      </c>
      <c r="H256" s="255">
        <f t="shared" si="74"/>
        <v>148.69387670649701</v>
      </c>
      <c r="M256" s="292"/>
    </row>
    <row r="257" spans="1:13" ht="15.75" thickBot="1" x14ac:dyDescent="0.25">
      <c r="A257" s="10">
        <v>2022</v>
      </c>
      <c r="B257" t="s">
        <v>18</v>
      </c>
      <c r="C257" s="289">
        <f t="shared" si="71"/>
        <v>166.82918597345457</v>
      </c>
      <c r="D257" s="289">
        <f t="shared" si="67"/>
        <v>250.8</v>
      </c>
      <c r="E257" s="289">
        <f t="shared" si="72"/>
        <v>159.86429008463301</v>
      </c>
      <c r="F257" s="289">
        <f t="shared" si="73"/>
        <v>126.99528798219538</v>
      </c>
      <c r="G257" s="290">
        <f t="shared" si="70"/>
        <v>3.05</v>
      </c>
      <c r="H257" s="291">
        <f t="shared" si="74"/>
        <v>148.70822606030947</v>
      </c>
      <c r="M257" s="292"/>
    </row>
    <row r="258" spans="1:13" x14ac:dyDescent="0.2">
      <c r="A258" s="140" t="s">
        <v>42</v>
      </c>
      <c r="B258" s="140"/>
      <c r="C258" s="140"/>
      <c r="D258" s="140"/>
      <c r="E258" s="140"/>
      <c r="F258" s="140"/>
      <c r="G258" s="140"/>
      <c r="H258" s="141"/>
      <c r="I258" s="140"/>
      <c r="J258" s="140"/>
    </row>
    <row r="259" spans="1:13" x14ac:dyDescent="0.2">
      <c r="A259" s="140" t="s">
        <v>43</v>
      </c>
      <c r="B259" s="140"/>
      <c r="C259" s="140"/>
      <c r="D259" s="140"/>
      <c r="E259" s="140"/>
      <c r="F259" s="140"/>
      <c r="G259" s="140"/>
      <c r="H259" s="141"/>
      <c r="I259" s="140"/>
      <c r="J259" s="140"/>
    </row>
    <row r="260" spans="1:13" x14ac:dyDescent="0.2">
      <c r="A260" s="140" t="s">
        <v>45</v>
      </c>
      <c r="B260" s="140"/>
      <c r="C260" s="140"/>
      <c r="D260" s="140"/>
      <c r="E260" s="140"/>
      <c r="F260" s="140"/>
      <c r="G260" s="140"/>
      <c r="H260" s="141"/>
      <c r="I260" s="140"/>
      <c r="J260" s="140"/>
    </row>
    <row r="261" spans="1:13" x14ac:dyDescent="0.2">
      <c r="A261" s="142" t="s">
        <v>88</v>
      </c>
      <c r="B261" s="142" t="s">
        <v>114</v>
      </c>
      <c r="C261" s="142"/>
      <c r="D261" s="142"/>
      <c r="E261" s="142"/>
      <c r="F261" s="142"/>
      <c r="G261" s="142"/>
      <c r="H261" s="143"/>
      <c r="I261" s="142"/>
      <c r="J261" s="142"/>
    </row>
    <row r="262" spans="1:13" x14ac:dyDescent="0.2">
      <c r="A262" s="142" t="s">
        <v>115</v>
      </c>
      <c r="B262" s="142" t="s">
        <v>116</v>
      </c>
      <c r="C262" s="142"/>
      <c r="D262" s="142"/>
      <c r="E262" s="142"/>
      <c r="F262" s="142"/>
      <c r="G262" s="142"/>
      <c r="H262" s="143"/>
      <c r="I262" s="142"/>
      <c r="J262" s="142"/>
    </row>
    <row r="263" spans="1:13" x14ac:dyDescent="0.2">
      <c r="A263" s="137" t="s">
        <v>70</v>
      </c>
      <c r="B263" s="138" t="s">
        <v>131</v>
      </c>
      <c r="C263" s="138"/>
      <c r="D263" s="138"/>
      <c r="E263" s="138"/>
      <c r="F263" s="138"/>
      <c r="G263" s="138"/>
      <c r="H263" s="138"/>
      <c r="I263" s="138"/>
      <c r="J263" s="138"/>
    </row>
    <row r="264" spans="1:13" x14ac:dyDescent="0.2">
      <c r="A264" s="138" t="s">
        <v>130</v>
      </c>
      <c r="B264" s="138"/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33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55"/>
  <sheetViews>
    <sheetView view="pageBreakPreview" topLeftCell="A218" zoomScale="110" zoomScaleNormal="100" zoomScaleSheetLayoutView="110" workbookViewId="0">
      <selection activeCell="C241" sqref="C241:H241"/>
    </sheetView>
  </sheetViews>
  <sheetFormatPr defaultRowHeight="12.75" x14ac:dyDescent="0.2"/>
  <cols>
    <col min="2" max="2" width="9.5703125" customWidth="1"/>
    <col min="3" max="3" width="13.2851562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x14ac:dyDescent="0.2">
      <c r="A3" s="2" t="s">
        <v>1</v>
      </c>
      <c r="B3" s="2" t="s">
        <v>2</v>
      </c>
      <c r="C3" s="2" t="s">
        <v>3</v>
      </c>
      <c r="D3" s="120" t="s">
        <v>118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0.61227764938870166</v>
      </c>
      <c r="D241" s="59">
        <f>+('Indeks '!D243/'Indeks '!D$187*'Indeks '!D$184)/('Indeks '!H243/'Indeks '!H$187)</f>
        <v>0.20615171821445266</v>
      </c>
      <c r="E241" s="59">
        <f>+('Indeks '!E243/'Indeks '!E$187*'Indeks '!E$184)/('Indeks '!H243/'Indeks '!H$187)</f>
        <v>7.4890704076465059E-2</v>
      </c>
      <c r="F241" s="59">
        <f>+('Indeks '!F243/'Indeks '!F$187*'Indeks '!F$184)/('Indeks '!H243/'Indeks '!H$187)</f>
        <v>8.019057088979728E-2</v>
      </c>
      <c r="G241" s="59">
        <f>+('Indeks '!G243/'Indeks '!G$187*'Indeks '!G$184)/('Indeks '!H243/'Indeks '!H$187)</f>
        <v>2.6489357430583262E-2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74">
        <f>+('Indeks '!C244/'Indeks '!C$187*'Indeks '!C$184)/('Indeks '!H244/'Indeks '!H$187)</f>
        <v>0.61183113682827905</v>
      </c>
      <c r="D242" s="74">
        <f>+('Indeks '!D244/'Indeks '!D$187*'Indeks '!D$184)/('Indeks '!H244/'Indeks '!H$187)</f>
        <v>0.20600137901519011</v>
      </c>
      <c r="E242" s="74">
        <f>+('Indeks '!E244/'Indeks '!E$187*'Indeks '!E$184)/('Indeks '!H244/'Indeks '!H$187)</f>
        <v>7.5125449184699752E-2</v>
      </c>
      <c r="F242" s="74">
        <f>+('Indeks '!F244/'Indeks '!F$187*'Indeks '!F$184)/('Indeks '!H244/'Indeks '!H$187)</f>
        <v>8.0571995298186982E-2</v>
      </c>
      <c r="G242" s="74">
        <f>+('Indeks '!G244/'Indeks '!G$187*'Indeks '!G$184)/('Indeks '!H244/'Indeks '!H$187)</f>
        <v>2.6470039673643923E-2</v>
      </c>
      <c r="H242" s="74">
        <f t="shared" si="30"/>
        <v>0.99999999999999978</v>
      </c>
    </row>
    <row r="243" spans="1:8" x14ac:dyDescent="0.2">
      <c r="A243" s="12">
        <f t="shared" si="31"/>
        <v>2024</v>
      </c>
      <c r="B243" s="13" t="s">
        <v>18</v>
      </c>
      <c r="C243" s="75">
        <f>+('Indeks '!C245/'Indeks '!C$187*'Indeks '!C$184)/('Indeks '!H245/'Indeks '!H$187)</f>
        <v>0.61138311611405716</v>
      </c>
      <c r="D243" s="75">
        <f>+('Indeks '!D245/'Indeks '!D$187*'Indeks '!D$184)/('Indeks '!H245/'Indeks '!H$187)</f>
        <v>0.20585053202587941</v>
      </c>
      <c r="E243" s="75">
        <f>+('Indeks '!E245/'Indeks '!E$187*'Indeks '!E$184)/('Indeks '!H245/'Indeks '!H$187)</f>
        <v>7.5360704065542017E-2</v>
      </c>
      <c r="F243" s="75">
        <f>+('Indeks '!F245/'Indeks '!F$187*'Indeks '!F$184)/('Indeks '!H245/'Indeks '!H$187)</f>
        <v>8.0954991126033868E-2</v>
      </c>
      <c r="G243" s="75">
        <f>+('Indeks '!G245/'Indeks '!G$187*'Indeks '!G$184)/('Indeks '!H245/'Indeks '!H$187)</f>
        <v>2.6450656668487393E-2</v>
      </c>
      <c r="H243" s="75">
        <f t="shared" si="30"/>
        <v>1</v>
      </c>
    </row>
    <row r="244" spans="1:8" x14ac:dyDescent="0.2">
      <c r="A244" s="2">
        <v>2025</v>
      </c>
      <c r="B244" t="s">
        <v>8</v>
      </c>
      <c r="C244" s="74">
        <f>+('Indeks '!C246/'Indeks '!C$187*'Indeks '!C$184)/('Indeks '!H246/'Indeks '!H$187)</f>
        <v>0.61361641209170048</v>
      </c>
      <c r="D244" s="74">
        <f>+('Indeks '!D246/'Indeks '!D$187*'Indeks '!D$184)/('Indeks '!H246/'Indeks '!H$187)</f>
        <v>0.20461599459890148</v>
      </c>
      <c r="E244" s="74">
        <f>+('Indeks '!E246/'Indeks '!E$187*'Indeks '!E$184)/('Indeks '!H246/'Indeks '!H$187)</f>
        <v>7.4989545490215512E-2</v>
      </c>
      <c r="F244" s="74">
        <f>+('Indeks '!F246/'Indeks '!F$187*'Indeks '!F$184)/('Indeks '!H246/'Indeks '!H$187)</f>
        <v>8.0486022393004591E-2</v>
      </c>
      <c r="G244" s="74">
        <f>+('Indeks '!G246/'Indeks '!G$187*'Indeks '!G$184)/('Indeks '!H246/'Indeks '!H$187)</f>
        <v>2.6292025426177631E-2</v>
      </c>
      <c r="H244" s="74">
        <f t="shared" ref="H244:H255" si="32">SUM(C244:G244)</f>
        <v>0.99999999999999967</v>
      </c>
    </row>
    <row r="245" spans="1:8" x14ac:dyDescent="0.2">
      <c r="A245" s="10">
        <f>A244</f>
        <v>2025</v>
      </c>
      <c r="B245" t="s">
        <v>9</v>
      </c>
      <c r="C245" s="74">
        <f>+('Indeks '!C247/'Indeks '!C$187*'Indeks '!C$184)/('Indeks '!H247/'Indeks '!H$187)</f>
        <v>0.61355663462409693</v>
      </c>
      <c r="D245" s="74">
        <f>+('Indeks '!D247/'Indeks '!D$187*'Indeks '!D$184)/('Indeks '!H247/'Indeks '!H$187)</f>
        <v>0.20459606125659302</v>
      </c>
      <c r="E245" s="74">
        <f>+('Indeks '!E247/'Indeks '!E$187*'Indeks '!E$184)/('Indeks '!H247/'Indeks '!H$187)</f>
        <v>7.5063117933505993E-2</v>
      </c>
      <c r="F245" s="74">
        <f>+('Indeks '!F247/'Indeks '!F$187*'Indeks '!F$184)/('Indeks '!H247/'Indeks '!H$187)</f>
        <v>8.0494722084041945E-2</v>
      </c>
      <c r="G245" s="74">
        <f>+('Indeks '!G247/'Indeks '!G$187*'Indeks '!G$184)/('Indeks '!H247/'Indeks '!H$187)</f>
        <v>2.6289464101761958E-2</v>
      </c>
      <c r="H245" s="74">
        <f t="shared" si="32"/>
        <v>0.99999999999999978</v>
      </c>
    </row>
    <row r="246" spans="1:8" x14ac:dyDescent="0.2">
      <c r="A246" s="12">
        <f t="shared" ref="A246:A255" si="33">A245</f>
        <v>2025</v>
      </c>
      <c r="B246" s="13" t="s">
        <v>10</v>
      </c>
      <c r="C246" s="75">
        <f>+('Indeks '!C248/'Indeks '!C$187*'Indeks '!C$184)/('Indeks '!H248/'Indeks '!H$187)</f>
        <v>0.61349681320245175</v>
      </c>
      <c r="D246" s="75">
        <f>+('Indeks '!D248/'Indeks '!D$187*'Indeks '!D$184)/('Indeks '!H248/'Indeks '!H$187)</f>
        <v>0.2045761132574081</v>
      </c>
      <c r="E246" s="75">
        <f>+('Indeks '!E248/'Indeks '!E$187*'Indeks '!E$184)/('Indeks '!H248/'Indeks '!H$187)</f>
        <v>7.5136756462525198E-2</v>
      </c>
      <c r="F246" s="75">
        <f>+('Indeks '!F248/'Indeks '!F$187*'Indeks '!F$184)/('Indeks '!H248/'Indeks '!H$187)</f>
        <v>8.0503416183596244E-2</v>
      </c>
      <c r="G246" s="75">
        <f>+('Indeks '!G248/'Indeks '!G$187*'Indeks '!G$184)/('Indeks '!H248/'Indeks '!H$187)</f>
        <v>2.6286900894018601E-2</v>
      </c>
      <c r="H246" s="75">
        <f t="shared" si="32"/>
        <v>0.99999999999999989</v>
      </c>
    </row>
    <row r="247" spans="1:8" x14ac:dyDescent="0.2">
      <c r="A247" s="17">
        <f t="shared" si="33"/>
        <v>2025</v>
      </c>
      <c r="B247" s="18" t="s">
        <v>11</v>
      </c>
      <c r="C247" s="74">
        <f>+('Indeks '!C249/'Indeks '!C$187*'Indeks '!C$184)/('Indeks '!H249/'Indeks '!H$187)</f>
        <v>0.61572547565524394</v>
      </c>
      <c r="D247" s="74">
        <f>+('Indeks '!D249/'Indeks '!D$187*'Indeks '!D$184)/('Indeks '!H249/'Indeks '!H$187)</f>
        <v>0.20334513871046386</v>
      </c>
      <c r="E247" s="74">
        <f>+('Indeks '!E249/'Indeks '!E$187*'Indeks '!E$184)/('Indeks '!H249/'Indeks '!H$187)</f>
        <v>7.4765200682939417E-2</v>
      </c>
      <c r="F247" s="74">
        <f>+('Indeks '!F249/'Indeks '!F$187*'Indeks '!F$184)/('Indeks '!H249/'Indeks '!H$187)</f>
        <v>8.0035457489233686E-2</v>
      </c>
      <c r="G247" s="74">
        <f>+('Indeks '!G249/'Indeks '!G$187*'Indeks '!G$184)/('Indeks '!H249/'Indeks '!H$187)</f>
        <v>2.6128727462119111E-2</v>
      </c>
      <c r="H247" s="74">
        <f t="shared" si="32"/>
        <v>1</v>
      </c>
    </row>
    <row r="248" spans="1:8" x14ac:dyDescent="0.2">
      <c r="A248" s="10">
        <f t="shared" si="33"/>
        <v>2025</v>
      </c>
      <c r="B248" t="s">
        <v>12</v>
      </c>
      <c r="C248" s="74">
        <f>+('Indeks '!C250/'Indeks '!C$187*'Indeks '!C$184)/('Indeks '!H250/'Indeks '!H$187)</f>
        <v>0.61566569870039312</v>
      </c>
      <c r="D248" s="74">
        <f>+('Indeks '!D250/'Indeks '!D$187*'Indeks '!D$184)/('Indeks '!H250/'Indeks '!H$187)</f>
        <v>0.20332539719633716</v>
      </c>
      <c r="E248" s="74">
        <f>+('Indeks '!E250/'Indeks '!E$187*'Indeks '!E$184)/('Indeks '!H250/'Indeks '!H$187)</f>
        <v>7.4838578058573357E-2</v>
      </c>
      <c r="F248" s="74">
        <f>+('Indeks '!F250/'Indeks '!F$187*'Indeks '!F$184)/('Indeks '!H250/'Indeks '!H$187)</f>
        <v>8.0044135258130866E-2</v>
      </c>
      <c r="G248" s="74">
        <f>+('Indeks '!G250/'Indeks '!G$187*'Indeks '!G$184)/('Indeks '!H250/'Indeks '!H$187)</f>
        <v>2.6126190786565532E-2</v>
      </c>
      <c r="H248" s="74">
        <f t="shared" si="32"/>
        <v>1</v>
      </c>
    </row>
    <row r="249" spans="1:8" x14ac:dyDescent="0.2">
      <c r="A249" s="12">
        <f t="shared" si="33"/>
        <v>2025</v>
      </c>
      <c r="B249" s="13" t="s">
        <v>13</v>
      </c>
      <c r="C249" s="75">
        <f>+('Indeks '!C251/'Indeks '!C$187*'Indeks '!C$184)/('Indeks '!H251/'Indeks '!H$187)</f>
        <v>0.61560587773260111</v>
      </c>
      <c r="D249" s="75">
        <f>+('Indeks '!D251/'Indeks '!D$187*'Indeks '!D$184)/('Indeks '!H251/'Indeks '!H$187)</f>
        <v>0.20330564114680791</v>
      </c>
      <c r="E249" s="75">
        <f>+('Indeks '!E251/'Indeks '!E$187*'Indeks '!E$184)/('Indeks '!H251/'Indeks '!H$187)</f>
        <v>7.4912021387457672E-2</v>
      </c>
      <c r="F249" s="75">
        <f>+('Indeks '!F251/'Indeks '!F$187*'Indeks '!F$184)/('Indeks '!H251/'Indeks '!H$187)</f>
        <v>8.0052807489840491E-2</v>
      </c>
      <c r="G249" s="75">
        <f>+('Indeks '!G251/'Indeks '!G$187*'Indeks '!G$184)/('Indeks '!H251/'Indeks '!H$187)</f>
        <v>2.6123652243292987E-2</v>
      </c>
      <c r="H249" s="75">
        <f t="shared" si="32"/>
        <v>1.0000000000000002</v>
      </c>
    </row>
    <row r="250" spans="1:8" x14ac:dyDescent="0.2">
      <c r="A250" s="17">
        <f t="shared" si="33"/>
        <v>2025</v>
      </c>
      <c r="B250" s="212" t="s">
        <v>30</v>
      </c>
      <c r="C250" s="74">
        <f>+('Indeks '!C252/'Indeks '!C$187*'Indeks '!C$184)/('Indeks '!H252/'Indeks '!H$187)</f>
        <v>0.61782983330995389</v>
      </c>
      <c r="D250" s="74">
        <f>+('Indeks '!D252/'Indeks '!D$187*'Indeks '!D$184)/('Indeks '!H252/'Indeks '!H$187)</f>
        <v>0.20207826581509833</v>
      </c>
      <c r="E250" s="74">
        <f>+('Indeks '!E252/'Indeks '!E$187*'Indeks '!E$184)/('Indeks '!H252/'Indeks '!H$187)</f>
        <v>7.4540084696424216E-2</v>
      </c>
      <c r="F250" s="74">
        <f>+('Indeks '!F252/'Indeks '!F$187*'Indeks '!F$184)/('Indeks '!H252/'Indeks '!H$187)</f>
        <v>7.9585874887846936E-2</v>
      </c>
      <c r="G250" s="74">
        <f>+('Indeks '!G252/'Indeks '!G$187*'Indeks '!G$184)/('Indeks '!H252/'Indeks '!H$187)</f>
        <v>2.5965941290676458E-2</v>
      </c>
      <c r="H250" s="74">
        <f t="shared" si="32"/>
        <v>0.99999999999999989</v>
      </c>
    </row>
    <row r="251" spans="1:8" x14ac:dyDescent="0.2">
      <c r="A251" s="10">
        <f t="shared" si="33"/>
        <v>2025</v>
      </c>
      <c r="B251" t="s">
        <v>14</v>
      </c>
      <c r="C251" s="74">
        <f>+('Indeks '!C253/'Indeks '!C$187*'Indeks '!C$184)/('Indeks '!H253/'Indeks '!H$187)</f>
        <v>0.61777005912345695</v>
      </c>
      <c r="D251" s="74">
        <f>+('Indeks '!D253/'Indeks '!D$187*'Indeks '!D$184)/('Indeks '!H253/'Indeks '!H$187)</f>
        <v>0.20205871502085601</v>
      </c>
      <c r="E251" s="74">
        <f>+('Indeks '!E253/'Indeks '!E$187*'Indeks '!E$184)/('Indeks '!H253/'Indeks '!H$187)</f>
        <v>7.461326614403313E-2</v>
      </c>
      <c r="F251" s="74">
        <f>+('Indeks '!F253/'Indeks '!F$187*'Indeks '!F$184)/('Indeks '!H253/'Indeks '!H$187)</f>
        <v>7.9594530590078941E-2</v>
      </c>
      <c r="G251" s="74">
        <f>+('Indeks '!G253/'Indeks '!G$187*'Indeks '!G$184)/('Indeks '!H253/'Indeks '!H$187)</f>
        <v>2.5963429121574875E-2</v>
      </c>
      <c r="H251" s="74">
        <f t="shared" si="32"/>
        <v>1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0.61771024086674076</v>
      </c>
      <c r="D252" s="75">
        <f>+('Indeks '!D254/'Indeks '!D$187*'Indeks '!D$184)/('Indeks '!H254/'Indeks '!H$187)</f>
        <v>0.20203914981223453</v>
      </c>
      <c r="E252" s="75">
        <f>+('Indeks '!E254/'Indeks '!E$187*'Indeks '!E$184)/('Indeks '!H254/'Indeks '!H$187)</f>
        <v>7.4686513411522243E-2</v>
      </c>
      <c r="F252" s="75">
        <f>+('Indeks '!F254/'Indeks '!F$187*'Indeks '!F$184)/('Indeks '!H254/'Indeks '!H$187)</f>
        <v>7.9603180809197288E-2</v>
      </c>
      <c r="G252" s="75">
        <f>+('Indeks '!G254/'Indeks '!G$187*'Indeks '!G$184)/('Indeks '!H254/'Indeks '!H$187)</f>
        <v>2.5960915100305165E-2</v>
      </c>
      <c r="H252" s="75">
        <f t="shared" si="32"/>
        <v>0.99999999999999989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0.61992941693977643</v>
      </c>
      <c r="D253" s="74">
        <f>+('Indeks '!D255/'Indeks '!D$187*'Indeks '!D$184)/('Indeks '!H255/'Indeks '!H$187)</f>
        <v>0.2008154095423629</v>
      </c>
      <c r="E253" s="74">
        <f>+('Indeks '!E255/'Indeks '!E$187*'Indeks '!E$184)/('Indeks '!H255/'Indeks '!H$187)</f>
        <v>7.4314212092867912E-2</v>
      </c>
      <c r="F253" s="74">
        <f>+('Indeks '!F255/'Indeks '!F$187*'Indeks '!F$184)/('Indeks '!H255/'Indeks '!H$187)</f>
        <v>7.913729019193036E-2</v>
      </c>
      <c r="G253" s="74">
        <f>+('Indeks '!G255/'Indeks '!G$187*'Indeks '!G$184)/('Indeks '!H255/'Indeks '!H$187)</f>
        <v>2.5803671233062174E-2</v>
      </c>
      <c r="H253" s="74">
        <f t="shared" si="32"/>
        <v>0.99999999999999978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0.61986964777132503</v>
      </c>
      <c r="D254" s="74">
        <f>+('Indeks '!D256/'Indeks '!D$187*'Indeks '!D$184)/('Indeks '!H256/'Indeks '!H$187)</f>
        <v>0.20079604835427825</v>
      </c>
      <c r="E254" s="74">
        <f>+('Indeks '!E256/'Indeks '!E$187*'Indeks '!E$184)/('Indeks '!H256/'Indeks '!H$187)</f>
        <v>7.4387196763776114E-2</v>
      </c>
      <c r="F254" s="74">
        <f>+('Indeks '!F256/'Indeks '!F$187*'Indeks '!F$184)/('Indeks '!H256/'Indeks '!H$187)</f>
        <v>7.9145923683315633E-2</v>
      </c>
      <c r="G254" s="74">
        <f>+('Indeks '!G256/'Indeks '!G$187*'Indeks '!G$184)/('Indeks '!H256/'Indeks '!H$187)</f>
        <v>2.5801183427304857E-2</v>
      </c>
      <c r="H254" s="74">
        <f t="shared" si="32"/>
        <v>0.99999999999999989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0.61980983447700277</v>
      </c>
      <c r="D255" s="74">
        <f>+('Indeks '!D257/'Indeks '!D$187*'Indeks '!D$184)/('Indeks '!H257/'Indeks '!H$187)</f>
        <v>0.20077667287238116</v>
      </c>
      <c r="E255" s="74">
        <f>+('Indeks '!E257/'Indeks '!E$187*'Indeks '!E$184)/('Indeks '!H257/'Indeks '!H$187)</f>
        <v>7.446024712030809E-2</v>
      </c>
      <c r="F255" s="74">
        <f>+('Indeks '!F257/'Indeks '!F$187*'Indeks '!F$184)/('Indeks '!H257/'Indeks '!H$187)</f>
        <v>7.91545517454363E-2</v>
      </c>
      <c r="G255" s="74">
        <f>+('Indeks '!G257/'Indeks '!G$187*'Indeks '!G$184)/('Indeks '!H257/'Indeks '!H$187)</f>
        <v>2.5798693784871568E-2</v>
      </c>
      <c r="H255" s="74">
        <f t="shared" si="32"/>
        <v>0.99999999999999978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54"/>
  <sheetViews>
    <sheetView view="pageBreakPreview" topLeftCell="A216" zoomScale="90" zoomScaleNormal="100" zoomScaleSheetLayoutView="90" workbookViewId="0">
      <selection activeCell="C240" sqref="C240:H240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" hidden="1" x14ac:dyDescent="0.2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" hidden="1" x14ac:dyDescent="0.2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" hidden="1" x14ac:dyDescent="0.2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" hidden="1" x14ac:dyDescent="0.2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" hidden="1" x14ac:dyDescent="0.2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" hidden="1" x14ac:dyDescent="0.2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" hidden="1" x14ac:dyDescent="0.2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" hidden="1" x14ac:dyDescent="0.2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" hidden="1" x14ac:dyDescent="0.2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" hidden="1" x14ac:dyDescent="0.2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" hidden="1" x14ac:dyDescent="0.2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" hidden="1" x14ac:dyDescent="0.2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" hidden="1" x14ac:dyDescent="0.2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" hidden="1" x14ac:dyDescent="0.2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" hidden="1" x14ac:dyDescent="0.2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" hidden="1" x14ac:dyDescent="0.2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" hidden="1" x14ac:dyDescent="0.2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" hidden="1" x14ac:dyDescent="0.2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" hidden="1" x14ac:dyDescent="0.2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" hidden="1" x14ac:dyDescent="0.2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" hidden="1" x14ac:dyDescent="0.2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" hidden="1" x14ac:dyDescent="0.2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" hidden="1" x14ac:dyDescent="0.2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" hidden="1" x14ac:dyDescent="0.2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" hidden="1" x14ac:dyDescent="0.2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" hidden="1" x14ac:dyDescent="0.2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" hidden="1" x14ac:dyDescent="0.2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" hidden="1" x14ac:dyDescent="0.2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" hidden="1" x14ac:dyDescent="0.2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" hidden="1" x14ac:dyDescent="0.2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" hidden="1" x14ac:dyDescent="0.2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" hidden="1" x14ac:dyDescent="0.2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5.75" hidden="1" x14ac:dyDescent="0.25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" hidden="1" x14ac:dyDescent="0.2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" hidden="1" x14ac:dyDescent="0.2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" hidden="1" x14ac:dyDescent="0.2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" hidden="1" x14ac:dyDescent="0.2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" hidden="1" x14ac:dyDescent="0.2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" hidden="1" x14ac:dyDescent="0.2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" hidden="1" x14ac:dyDescent="0.2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" hidden="1" x14ac:dyDescent="0.2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" hidden="1" x14ac:dyDescent="0.2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" hidden="1" x14ac:dyDescent="0.2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" hidden="1" x14ac:dyDescent="0.2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" hidden="1" x14ac:dyDescent="0.2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" hidden="1" x14ac:dyDescent="0.2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" hidden="1" x14ac:dyDescent="0.2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" hidden="1" x14ac:dyDescent="0.2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" hidden="1" x14ac:dyDescent="0.2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" hidden="1" x14ac:dyDescent="0.2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" hidden="1" x14ac:dyDescent="0.2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" hidden="1" x14ac:dyDescent="0.2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" hidden="1" x14ac:dyDescent="0.2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" hidden="1" x14ac:dyDescent="0.2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" hidden="1" x14ac:dyDescent="0.2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" hidden="1" x14ac:dyDescent="0.2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" hidden="1" x14ac:dyDescent="0.2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" hidden="1" x14ac:dyDescent="0.2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" hidden="1" x14ac:dyDescent="0.2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" hidden="1" x14ac:dyDescent="0.2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" hidden="1" x14ac:dyDescent="0.2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" hidden="1" x14ac:dyDescent="0.2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" hidden="1" x14ac:dyDescent="0.2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" hidden="1" x14ac:dyDescent="0.2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" hidden="1" x14ac:dyDescent="0.2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" hidden="1" x14ac:dyDescent="0.2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" hidden="1" x14ac:dyDescent="0.2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" hidden="1" x14ac:dyDescent="0.2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" hidden="1" x14ac:dyDescent="0.2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" hidden="1" x14ac:dyDescent="0.2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" hidden="1" x14ac:dyDescent="0.2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" hidden="1" x14ac:dyDescent="0.2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" hidden="1" x14ac:dyDescent="0.2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" hidden="1" x14ac:dyDescent="0.2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" hidden="1" x14ac:dyDescent="0.2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" hidden="1" x14ac:dyDescent="0.2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idden="1" x14ac:dyDescent="0.2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idden="1" x14ac:dyDescent="0.2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idden="1" x14ac:dyDescent="0.2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idden="1" x14ac:dyDescent="0.2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idden="1" x14ac:dyDescent="0.2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idden="1" x14ac:dyDescent="0.2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idden="1" x14ac:dyDescent="0.2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idden="1" x14ac:dyDescent="0.2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idden="1" x14ac:dyDescent="0.2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idden="1" x14ac:dyDescent="0.2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idden="1" x14ac:dyDescent="0.2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idden="1" x14ac:dyDescent="0.2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idden="1" x14ac:dyDescent="0.2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idden="1" x14ac:dyDescent="0.2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idden="1" x14ac:dyDescent="0.2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idden="1" x14ac:dyDescent="0.2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idden="1" x14ac:dyDescent="0.2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idden="1" x14ac:dyDescent="0.2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idden="1" x14ac:dyDescent="0.2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idden="1" x14ac:dyDescent="0.2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idden="1" x14ac:dyDescent="0.2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idden="1" x14ac:dyDescent="0.2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idden="1" x14ac:dyDescent="0.2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idden="1" x14ac:dyDescent="0.2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idden="1" x14ac:dyDescent="0.2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idden="1" x14ac:dyDescent="0.2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idden="1" x14ac:dyDescent="0.2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idden="1" x14ac:dyDescent="0.2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idden="1" x14ac:dyDescent="0.2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idden="1" x14ac:dyDescent="0.2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idden="1" x14ac:dyDescent="0.2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idden="1" x14ac:dyDescent="0.2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idden="1" x14ac:dyDescent="0.2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idden="1" x14ac:dyDescent="0.2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idden="1" x14ac:dyDescent="0.2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idden="1" x14ac:dyDescent="0.2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idden="1" x14ac:dyDescent="0.2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idden="1" x14ac:dyDescent="0.2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idden="1" x14ac:dyDescent="0.2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idden="1" x14ac:dyDescent="0.2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idden="1" x14ac:dyDescent="0.2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idden="1" x14ac:dyDescent="0.2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idden="1" x14ac:dyDescent="0.2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idden="1" x14ac:dyDescent="0.2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idden="1" x14ac:dyDescent="0.2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idden="1" x14ac:dyDescent="0.2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idden="1" x14ac:dyDescent="0.2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idden="1" x14ac:dyDescent="0.2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idden="1" x14ac:dyDescent="0.2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idden="1" x14ac:dyDescent="0.2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idden="1" x14ac:dyDescent="0.2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idden="1" x14ac:dyDescent="0.2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idden="1" x14ac:dyDescent="0.2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idden="1" x14ac:dyDescent="0.2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idden="1" x14ac:dyDescent="0.2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idden="1" x14ac:dyDescent="0.2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idden="1" x14ac:dyDescent="0.2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idden="1" x14ac:dyDescent="0.2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idden="1" x14ac:dyDescent="0.2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idden="1" x14ac:dyDescent="0.2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idden="1" x14ac:dyDescent="0.2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idden="1" x14ac:dyDescent="0.2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idden="1" x14ac:dyDescent="0.2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idden="1" x14ac:dyDescent="0.2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idden="1" x14ac:dyDescent="0.2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idden="1" x14ac:dyDescent="0.2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idden="1" x14ac:dyDescent="0.2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idden="1" x14ac:dyDescent="0.2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idden="1" x14ac:dyDescent="0.2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idden="1" x14ac:dyDescent="0.2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idden="1" x14ac:dyDescent="0.2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idden="1" x14ac:dyDescent="0.2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idden="1" x14ac:dyDescent="0.2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idden="1" x14ac:dyDescent="0.2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idden="1" x14ac:dyDescent="0.2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idden="1" x14ac:dyDescent="0.2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idden="1" x14ac:dyDescent="0.2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idden="1" x14ac:dyDescent="0.2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idden="1" x14ac:dyDescent="0.2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idden="1" x14ac:dyDescent="0.2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idden="1" x14ac:dyDescent="0.2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idden="1" x14ac:dyDescent="0.2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idden="1" x14ac:dyDescent="0.2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idden="1" x14ac:dyDescent="0.2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idden="1" x14ac:dyDescent="0.2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idden="1" x14ac:dyDescent="0.2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idden="1" x14ac:dyDescent="0.2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idden="1" x14ac:dyDescent="0.2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idden="1" x14ac:dyDescent="0.2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idden="1" x14ac:dyDescent="0.2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idden="1" x14ac:dyDescent="0.2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idden="1" x14ac:dyDescent="0.2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idden="1" x14ac:dyDescent="0.2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idden="1" x14ac:dyDescent="0.2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idden="1" x14ac:dyDescent="0.2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idden="1" x14ac:dyDescent="0.2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idden="1" x14ac:dyDescent="0.2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idden="1" x14ac:dyDescent="0.2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74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12">
        <f t="shared" si="31"/>
        <v>2023</v>
      </c>
      <c r="B230" s="13" t="s">
        <v>18</v>
      </c>
      <c r="C230" s="278">
        <f>+'Indeks '!H233</f>
        <v>144.62942392685758</v>
      </c>
      <c r="D230" s="279">
        <f t="shared" si="30"/>
        <v>1.8044269982731998E-2</v>
      </c>
      <c r="E230" s="279">
        <f>(SUM(C228:C230)-SUM(C225:C227))/SUM(C225:C227)</f>
        <v>2.4908880088877892E-2</v>
      </c>
      <c r="F230" s="279">
        <f>(SUM(C225:C230)-SUM(C219:C224))/SUM(C219:C224)</f>
        <v>-1.758816985360151E-2</v>
      </c>
      <c r="G230" s="279">
        <f>(SUM(C219:C230)-SUM(C207:C218))/SUM(C207:C218)</f>
        <v>-0.10386897386424962</v>
      </c>
      <c r="H230" s="278">
        <f>(C219+C220+C221+C222+C223+C224+C225+C226+C227+C228+C229+C230)/12</f>
        <v>142.26505206480874</v>
      </c>
    </row>
    <row r="231" spans="1:8" x14ac:dyDescent="0.2">
      <c r="A231" s="2">
        <v>2024</v>
      </c>
      <c r="B231" t="s">
        <v>8</v>
      </c>
      <c r="C231" s="259">
        <f>+'Indeks '!H234</f>
        <v>142.81188843108748</v>
      </c>
      <c r="D231" s="260">
        <f t="shared" ref="D231:D242" si="32">(C231-C230)/C230</f>
        <v>-1.2566844604796816E-2</v>
      </c>
      <c r="E231" s="260"/>
      <c r="F231" s="260"/>
      <c r="G231" s="260"/>
      <c r="H231" s="261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12">
        <f t="shared" ref="A233:A242" si="33">A232</f>
        <v>2024</v>
      </c>
      <c r="B233" s="13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17">
        <f t="shared" si="33"/>
        <v>2024</v>
      </c>
      <c r="B234" s="18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10">
        <f t="shared" si="33"/>
        <v>2024</v>
      </c>
      <c r="B235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12">
        <f t="shared" si="33"/>
        <v>2024</v>
      </c>
      <c r="B236" s="13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74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10">
        <f t="shared" si="33"/>
        <v>2024</v>
      </c>
      <c r="B238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12">
        <f t="shared" si="33"/>
        <v>2024</v>
      </c>
      <c r="B239" s="13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18" t="s">
        <v>16</v>
      </c>
      <c r="C240" s="264">
        <f>+'Indeks '!H243</f>
        <v>144.83091926540959</v>
      </c>
      <c r="D240" s="265">
        <f t="shared" si="32"/>
        <v>-4.85710523216943E-3</v>
      </c>
      <c r="E240" s="265"/>
      <c r="F240" s="265"/>
      <c r="G240" s="265"/>
      <c r="H240" s="264"/>
    </row>
    <row r="241" spans="1:8" x14ac:dyDescent="0.2">
      <c r="A241" s="10">
        <f t="shared" si="33"/>
        <v>2024</v>
      </c>
      <c r="B241" t="s">
        <v>17</v>
      </c>
      <c r="C241" s="239">
        <f>+'Indeks '!H244</f>
        <v>144.93661644343294</v>
      </c>
      <c r="D241" s="111">
        <f t="shared" si="32"/>
        <v>7.2979705272499908E-4</v>
      </c>
      <c r="E241" s="111"/>
      <c r="F241" s="111"/>
      <c r="G241" s="111"/>
      <c r="H241" s="111"/>
    </row>
    <row r="242" spans="1:8" x14ac:dyDescent="0.2">
      <c r="A242" s="12">
        <f t="shared" si="33"/>
        <v>2024</v>
      </c>
      <c r="B242" s="13" t="s">
        <v>18</v>
      </c>
      <c r="C242" s="240">
        <f>+'Indeks '!H245</f>
        <v>145.04282579842561</v>
      </c>
      <c r="D242" s="75">
        <f t="shared" si="32"/>
        <v>7.3279863707956608E-4</v>
      </c>
      <c r="E242" s="133">
        <f>(SUM(C240:C242)-SUM(C237:C239))/SUM(C237:C239)</f>
        <v>-5.422288983745643E-3</v>
      </c>
      <c r="F242" s="133">
        <f>(SUM(C237:C242)-SUM(C231:C236))/SUM(C231:C236)</f>
        <v>2.7611125763440193E-2</v>
      </c>
      <c r="G242" s="133">
        <f>(SUM(C231:C242)-SUM(C219:C230))/SUM(C219:C230)</f>
        <v>7.8328706253974045E-3</v>
      </c>
      <c r="H242" s="257">
        <f>(C231+C232+C233+C234+C235+C236+C237+C238+C239+C240+C241+C242)/12</f>
        <v>143.37939581214781</v>
      </c>
    </row>
    <row r="243" spans="1:8" x14ac:dyDescent="0.2">
      <c r="A243" s="2">
        <v>2025</v>
      </c>
      <c r="B243" t="s">
        <v>8</v>
      </c>
      <c r="C243" s="239">
        <f>+'Indeks '!H246</f>
        <v>145.9179323477147</v>
      </c>
      <c r="D243" s="111">
        <f t="shared" ref="D243:D254" si="34">(C243-C242)/C242</f>
        <v>6.0334356040833903E-3</v>
      </c>
      <c r="E243" s="111"/>
      <c r="F243" s="111"/>
      <c r="G243" s="111"/>
      <c r="H243" s="111"/>
    </row>
    <row r="244" spans="1:8" x14ac:dyDescent="0.2">
      <c r="A244" s="10">
        <f>A243</f>
        <v>2025</v>
      </c>
      <c r="B244" t="s">
        <v>9</v>
      </c>
      <c r="C244" s="239">
        <f>+'Indeks '!H247</f>
        <v>145.93214880953985</v>
      </c>
      <c r="D244" s="111">
        <f t="shared" si="34"/>
        <v>9.7427791063266556E-5</v>
      </c>
      <c r="E244" s="111"/>
      <c r="F244" s="111"/>
      <c r="G244" s="111"/>
      <c r="H244" s="111"/>
    </row>
    <row r="245" spans="1:8" x14ac:dyDescent="0.2">
      <c r="A245" s="12">
        <f t="shared" ref="A245:A254" si="35">A244</f>
        <v>2025</v>
      </c>
      <c r="B245" s="13" t="s">
        <v>10</v>
      </c>
      <c r="C245" s="240">
        <f>+'Indeks '!H248</f>
        <v>145.94637849813424</v>
      </c>
      <c r="D245" s="133">
        <f t="shared" si="34"/>
        <v>9.7508936245125307E-5</v>
      </c>
      <c r="E245" s="133">
        <f>(SUM(C243:C245)-SUM(C240:C242))/SUM(C240:C242)</f>
        <v>6.86758737250263E-3</v>
      </c>
      <c r="F245" s="133"/>
      <c r="G245" s="133"/>
      <c r="H245" s="133"/>
    </row>
    <row r="246" spans="1:8" x14ac:dyDescent="0.2">
      <c r="A246" s="17">
        <f t="shared" si="35"/>
        <v>2025</v>
      </c>
      <c r="B246" s="18" t="s">
        <v>11</v>
      </c>
      <c r="C246" s="239">
        <f>+'Indeks '!H249</f>
        <v>146.82988266395401</v>
      </c>
      <c r="D246" s="134">
        <f t="shared" si="34"/>
        <v>6.0536217130668099E-3</v>
      </c>
      <c r="E246" s="134"/>
      <c r="F246" s="134"/>
      <c r="G246" s="134"/>
      <c r="H246" s="111"/>
    </row>
    <row r="247" spans="1:8" x14ac:dyDescent="0.2">
      <c r="A247" s="10">
        <f t="shared" si="35"/>
        <v>2025</v>
      </c>
      <c r="B247" t="s">
        <v>12</v>
      </c>
      <c r="C247" s="239">
        <f>+'Indeks '!H250</f>
        <v>146.84413884760249</v>
      </c>
      <c r="D247" s="111">
        <f t="shared" si="34"/>
        <v>9.70932033032557E-5</v>
      </c>
      <c r="E247" s="111"/>
      <c r="F247" s="111"/>
      <c r="G247" s="111"/>
      <c r="H247" s="111"/>
    </row>
    <row r="248" spans="1:8" x14ac:dyDescent="0.2">
      <c r="A248" s="12">
        <f t="shared" si="35"/>
        <v>2025</v>
      </c>
      <c r="B248" s="13" t="s">
        <v>13</v>
      </c>
      <c r="C248" s="240">
        <f>+'Indeks '!H251</f>
        <v>146.85840829956553</v>
      </c>
      <c r="D248" s="133">
        <f t="shared" si="34"/>
        <v>9.7174133574648035E-5</v>
      </c>
      <c r="E248" s="133">
        <f>(SUM(C246:C248)-SUM(C243:C245))/SUM(C243:C245)</f>
        <v>6.2494113312083792E-3</v>
      </c>
      <c r="F248" s="133">
        <f>(SUM(C243:C248)-SUM(C237:C242))/SUM(C237:C242)</f>
        <v>7.2680149156232332E-3</v>
      </c>
      <c r="G248" s="133"/>
      <c r="H248" s="133"/>
    </row>
    <row r="249" spans="1:8" x14ac:dyDescent="0.2">
      <c r="A249" s="17">
        <f t="shared" si="35"/>
        <v>2025</v>
      </c>
      <c r="B249" s="22" t="s">
        <v>30</v>
      </c>
      <c r="C249" s="239">
        <f>+'Indeks '!H252</f>
        <v>147.75039134818266</v>
      </c>
      <c r="D249" s="134">
        <f t="shared" si="34"/>
        <v>6.0737621968341452E-3</v>
      </c>
      <c r="E249" s="134"/>
      <c r="F249" s="134"/>
      <c r="G249" s="134"/>
      <c r="H249" s="111"/>
    </row>
    <row r="250" spans="1:8" x14ac:dyDescent="0.2">
      <c r="A250" s="10">
        <f t="shared" si="35"/>
        <v>2025</v>
      </c>
      <c r="B250" t="s">
        <v>14</v>
      </c>
      <c r="C250" s="239">
        <f>+'Indeks '!H253</f>
        <v>147.76468737842404</v>
      </c>
      <c r="D250" s="111">
        <f t="shared" si="34"/>
        <v>9.6757985619768292E-5</v>
      </c>
      <c r="E250" s="111"/>
      <c r="F250" s="111"/>
      <c r="G250" s="111"/>
      <c r="H250" s="111"/>
    </row>
    <row r="251" spans="1:8" x14ac:dyDescent="0.2">
      <c r="A251" s="12">
        <f t="shared" si="35"/>
        <v>2025</v>
      </c>
      <c r="B251" s="13" t="s">
        <v>15</v>
      </c>
      <c r="C251" s="240">
        <f>+'Indeks '!H254</f>
        <v>147.77899671865902</v>
      </c>
      <c r="D251" s="133">
        <f t="shared" si="34"/>
        <v>9.6838700022606488E-5</v>
      </c>
      <c r="E251" s="133">
        <f>(SUM(C249:C251)-SUM(C246:C248))/SUM(C246:C248)</f>
        <v>6.2688815788834069E-3</v>
      </c>
      <c r="F251" s="133"/>
      <c r="G251" s="133"/>
      <c r="H251" s="133"/>
    </row>
    <row r="252" spans="1:8" x14ac:dyDescent="0.2">
      <c r="A252" s="17">
        <f t="shared" si="35"/>
        <v>2025</v>
      </c>
      <c r="B252" s="18" t="s">
        <v>16</v>
      </c>
      <c r="C252" s="239">
        <f>+'Indeks '!H255</f>
        <v>148.67954070449142</v>
      </c>
      <c r="D252" s="111">
        <f t="shared" si="34"/>
        <v>6.0938564060415918E-3</v>
      </c>
      <c r="E252" s="134"/>
      <c r="F252" s="134"/>
      <c r="G252" s="134"/>
      <c r="H252" s="111"/>
    </row>
    <row r="253" spans="1:8" x14ac:dyDescent="0.2">
      <c r="A253" s="10">
        <f t="shared" si="35"/>
        <v>2025</v>
      </c>
      <c r="B253" t="s">
        <v>17</v>
      </c>
      <c r="C253" s="239">
        <f>+'Indeks '!H256</f>
        <v>148.69387670649701</v>
      </c>
      <c r="D253" s="111">
        <f t="shared" si="34"/>
        <v>9.6422156926660393E-5</v>
      </c>
      <c r="E253" s="111"/>
      <c r="F253" s="111"/>
      <c r="G253" s="111"/>
      <c r="H253" s="111"/>
    </row>
    <row r="254" spans="1:8" x14ac:dyDescent="0.2">
      <c r="A254" s="12">
        <f t="shared" si="35"/>
        <v>2025</v>
      </c>
      <c r="B254" s="13" t="s">
        <v>18</v>
      </c>
      <c r="C254" s="240">
        <f>+'Indeks '!H257</f>
        <v>148.70822606030947</v>
      </c>
      <c r="D254" s="75">
        <f t="shared" si="34"/>
        <v>9.6502654516075797E-5</v>
      </c>
      <c r="E254" s="133">
        <f>(SUM(C252:C254)-SUM(C249:C251))/SUM(C249:C251)</f>
        <v>6.288304266715455E-3</v>
      </c>
      <c r="F254" s="133">
        <f>(SUM(C249:C254)-SUM(C243:C248))/SUM(C243:C248)</f>
        <v>1.2577099059969017E-2</v>
      </c>
      <c r="G254" s="133">
        <f>(SUM(C243:C254)-SUM(C231:C242))/SUM(C231:C242)</f>
        <v>2.7405064241283916E-2</v>
      </c>
      <c r="H254" s="257">
        <f>(C243+C244+C245+C246+C247+C248+C249+C250+C251+C252+C253+C254)/12</f>
        <v>147.3087173652562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E243" sqref="E243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84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63.75" x14ac:dyDescent="0.2">
      <c r="A5" s="96" t="s">
        <v>3</v>
      </c>
      <c r="B5" s="119" t="s">
        <v>67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118</v>
      </c>
      <c r="B6" s="293" t="s">
        <v>120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293"/>
      <c r="D7" s="6"/>
      <c r="E7" s="59"/>
      <c r="F7" s="59"/>
    </row>
    <row r="8" spans="1:6" ht="66" customHeight="1" x14ac:dyDescent="0.2">
      <c r="A8" s="96"/>
      <c r="B8" s="173" t="s">
        <v>122</v>
      </c>
      <c r="D8" s="6"/>
      <c r="E8" s="59"/>
      <c r="F8" s="59"/>
    </row>
    <row r="9" spans="1:6" ht="47.25" customHeight="1" x14ac:dyDescent="0.2">
      <c r="A9" s="96"/>
      <c r="B9" s="294" t="s">
        <v>125</v>
      </c>
      <c r="C9" s="294"/>
      <c r="D9" s="294"/>
      <c r="E9" s="294"/>
      <c r="F9" s="59"/>
    </row>
    <row r="10" spans="1:6" ht="25.5" x14ac:dyDescent="0.2">
      <c r="A10" s="96" t="s">
        <v>5</v>
      </c>
      <c r="B10" s="119" t="s">
        <v>71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72</v>
      </c>
      <c r="D11" s="6"/>
      <c r="E11" s="59"/>
      <c r="F11" s="59"/>
    </row>
    <row r="12" spans="1:6" ht="102" x14ac:dyDescent="0.2">
      <c r="A12" s="96" t="s">
        <v>6</v>
      </c>
      <c r="B12" s="119" t="s">
        <v>89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133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132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5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4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5"/>
  <sheetViews>
    <sheetView view="pageBreakPreview" topLeftCell="A73" zoomScale="90" zoomScaleNormal="80" zoomScaleSheetLayoutView="90" workbookViewId="0">
      <selection activeCell="H94" sqref="H94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297" t="s">
        <v>111</v>
      </c>
      <c r="B1" s="297"/>
      <c r="C1" s="297"/>
      <c r="D1" s="297"/>
      <c r="E1" s="297"/>
      <c r="F1" s="297"/>
      <c r="G1" s="297"/>
      <c r="H1" s="297"/>
      <c r="I1" s="297"/>
    </row>
    <row r="2" spans="1:14" ht="13.5" thickBot="1" x14ac:dyDescent="0.25"/>
    <row r="3" spans="1:14" ht="15" x14ac:dyDescent="0.25">
      <c r="A3" s="203" t="s">
        <v>112</v>
      </c>
      <c r="B3" s="222"/>
      <c r="C3" s="46"/>
      <c r="D3" s="204"/>
      <c r="E3" s="203"/>
      <c r="F3" s="47"/>
      <c r="G3" s="47"/>
      <c r="H3" s="161"/>
      <c r="J3" s="198" t="s">
        <v>90</v>
      </c>
    </row>
    <row r="4" spans="1:14" ht="15" x14ac:dyDescent="0.25">
      <c r="A4" s="233" t="s">
        <v>128</v>
      </c>
      <c r="B4" s="223"/>
      <c r="C4" s="223"/>
      <c r="H4" s="162"/>
      <c r="J4" t="s">
        <v>77</v>
      </c>
      <c r="K4" t="s">
        <v>91</v>
      </c>
      <c r="L4">
        <v>2.58</v>
      </c>
      <c r="M4" t="s">
        <v>92</v>
      </c>
      <c r="N4" t="s">
        <v>93</v>
      </c>
    </row>
    <row r="5" spans="1:14" ht="15" x14ac:dyDescent="0.25">
      <c r="A5" s="183" t="s">
        <v>117</v>
      </c>
      <c r="B5" s="181" t="s">
        <v>3</v>
      </c>
      <c r="C5" s="181" t="s">
        <v>4</v>
      </c>
      <c r="D5" s="170" t="s">
        <v>74</v>
      </c>
      <c r="E5" s="181" t="s">
        <v>6</v>
      </c>
      <c r="F5" s="182" t="s">
        <v>7</v>
      </c>
      <c r="G5" s="182" t="s">
        <v>0</v>
      </c>
      <c r="H5" s="162"/>
      <c r="J5" t="s">
        <v>81</v>
      </c>
      <c r="K5" t="s">
        <v>91</v>
      </c>
      <c r="L5">
        <v>8.9999999999999993E-3</v>
      </c>
      <c r="M5" t="s">
        <v>92</v>
      </c>
      <c r="N5" s="199" t="s">
        <v>94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79</v>
      </c>
      <c r="K6" t="s">
        <v>91</v>
      </c>
      <c r="L6">
        <v>0</v>
      </c>
      <c r="M6" t="s">
        <v>92</v>
      </c>
      <c r="N6" s="199" t="s">
        <v>95</v>
      </c>
    </row>
    <row r="7" spans="1:14" x14ac:dyDescent="0.2">
      <c r="A7" s="153" t="s">
        <v>126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75</v>
      </c>
      <c r="K7" t="s">
        <v>91</v>
      </c>
      <c r="L7">
        <v>7.49</v>
      </c>
      <c r="M7" t="s">
        <v>92</v>
      </c>
      <c r="N7" t="s">
        <v>93</v>
      </c>
    </row>
    <row r="8" spans="1:14" x14ac:dyDescent="0.2">
      <c r="A8" s="153" t="s">
        <v>127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96</v>
      </c>
      <c r="K8" t="s">
        <v>91</v>
      </c>
      <c r="L8">
        <v>0.1</v>
      </c>
      <c r="M8" t="s">
        <v>92</v>
      </c>
      <c r="N8" t="s">
        <v>97</v>
      </c>
    </row>
    <row r="9" spans="1:14" x14ac:dyDescent="0.2">
      <c r="A9" s="155" t="s">
        <v>80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98</v>
      </c>
      <c r="K9" t="s">
        <v>91</v>
      </c>
      <c r="L9" s="21">
        <f>0.25*SUM(L7:L8)</f>
        <v>1.8975</v>
      </c>
      <c r="M9" t="s">
        <v>92</v>
      </c>
      <c r="N9" t="s">
        <v>99</v>
      </c>
    </row>
    <row r="10" spans="1:14" x14ac:dyDescent="0.2">
      <c r="A10" s="184" t="s">
        <v>123</v>
      </c>
      <c r="B10" s="181" t="s">
        <v>3</v>
      </c>
      <c r="C10" s="232" t="s">
        <v>118</v>
      </c>
      <c r="D10" s="170" t="s">
        <v>74</v>
      </c>
      <c r="E10" s="181" t="s">
        <v>6</v>
      </c>
      <c r="F10" s="182" t="s">
        <v>7</v>
      </c>
      <c r="G10" s="176"/>
      <c r="H10" s="162"/>
      <c r="J10" t="s">
        <v>82</v>
      </c>
      <c r="K10" t="s">
        <v>91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100</v>
      </c>
      <c r="K11" t="s">
        <v>91</v>
      </c>
      <c r="L11" s="201">
        <f>L10/L15</f>
        <v>12.83128125</v>
      </c>
    </row>
    <row r="12" spans="1:14" x14ac:dyDescent="0.2">
      <c r="A12" s="153" t="s">
        <v>76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78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101</v>
      </c>
      <c r="K13" t="s">
        <v>83</v>
      </c>
      <c r="L13">
        <v>33.6</v>
      </c>
      <c r="M13" t="s">
        <v>102</v>
      </c>
      <c r="N13" t="s">
        <v>103</v>
      </c>
    </row>
    <row r="14" spans="1:14" x14ac:dyDescent="0.2">
      <c r="A14" s="155" t="s">
        <v>80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104</v>
      </c>
      <c r="K14" t="s">
        <v>83</v>
      </c>
      <c r="L14">
        <v>35.700000000000003</v>
      </c>
      <c r="M14" t="s">
        <v>102</v>
      </c>
      <c r="N14" t="s">
        <v>103</v>
      </c>
    </row>
    <row r="15" spans="1:14" x14ac:dyDescent="0.2">
      <c r="H15" s="162"/>
      <c r="J15" t="s">
        <v>105</v>
      </c>
      <c r="K15" t="s">
        <v>106</v>
      </c>
      <c r="L15" s="202">
        <f>L13/L14</f>
        <v>0.94117647058823528</v>
      </c>
    </row>
    <row r="16" spans="1:14" ht="13.15" customHeight="1" x14ac:dyDescent="0.2">
      <c r="A16" s="298" t="s">
        <v>113</v>
      </c>
      <c r="B16" s="298"/>
      <c r="C16" s="298"/>
      <c r="D16" s="298"/>
      <c r="E16" s="298"/>
      <c r="F16" s="298"/>
      <c r="G16" s="298"/>
      <c r="H16" s="162"/>
    </row>
    <row r="17" spans="1:14" x14ac:dyDescent="0.2">
      <c r="A17" s="298"/>
      <c r="B17" s="298"/>
      <c r="C17" s="298"/>
      <c r="D17" s="298"/>
      <c r="E17" s="298"/>
      <c r="F17" s="298"/>
      <c r="G17" s="298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107</v>
      </c>
    </row>
    <row r="19" spans="1:14" ht="15.6" customHeight="1" x14ac:dyDescent="0.2">
      <c r="J19" t="s">
        <v>77</v>
      </c>
      <c r="K19" t="s">
        <v>91</v>
      </c>
      <c r="L19">
        <v>2.58</v>
      </c>
    </row>
    <row r="20" spans="1:14" x14ac:dyDescent="0.2">
      <c r="J20" t="s">
        <v>81</v>
      </c>
      <c r="K20" t="s">
        <v>91</v>
      </c>
      <c r="L20">
        <v>8.9999999999999993E-3</v>
      </c>
    </row>
    <row r="21" spans="1:14" ht="14.45" customHeight="1" x14ac:dyDescent="0.25">
      <c r="J21" t="s">
        <v>79</v>
      </c>
      <c r="K21" t="s">
        <v>91</v>
      </c>
      <c r="L21" s="21">
        <v>0.433</v>
      </c>
      <c r="M21" t="s">
        <v>92</v>
      </c>
      <c r="N21" s="199" t="s">
        <v>108</v>
      </c>
    </row>
    <row r="22" spans="1:14" x14ac:dyDescent="0.2">
      <c r="A22" s="174"/>
      <c r="B22" s="295" t="s">
        <v>121</v>
      </c>
      <c r="C22" s="295" t="s">
        <v>73</v>
      </c>
      <c r="D22" s="175"/>
      <c r="E22" s="175"/>
      <c r="F22" s="175"/>
      <c r="G22" s="175"/>
      <c r="H22" s="176"/>
      <c r="J22" t="s">
        <v>75</v>
      </c>
      <c r="K22" t="s">
        <v>91</v>
      </c>
      <c r="L22" s="21">
        <v>4.7300000000000004</v>
      </c>
      <c r="M22" t="s">
        <v>92</v>
      </c>
      <c r="N22" t="s">
        <v>109</v>
      </c>
    </row>
    <row r="23" spans="1:14" x14ac:dyDescent="0.2">
      <c r="A23" s="177">
        <v>2020</v>
      </c>
      <c r="B23" s="296"/>
      <c r="C23" s="296"/>
      <c r="D23" s="180"/>
      <c r="E23" s="180"/>
      <c r="F23" s="180"/>
      <c r="G23" s="178" t="s">
        <v>124</v>
      </c>
      <c r="H23" s="179" t="s">
        <v>87</v>
      </c>
      <c r="J23" t="s">
        <v>96</v>
      </c>
      <c r="K23" t="s">
        <v>91</v>
      </c>
      <c r="L23">
        <f>0.1</f>
        <v>0.1</v>
      </c>
      <c r="M23" t="s">
        <v>92</v>
      </c>
      <c r="N23" t="s">
        <v>110</v>
      </c>
    </row>
    <row r="24" spans="1:14" x14ac:dyDescent="0.2">
      <c r="A24" s="190" t="s">
        <v>85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98</v>
      </c>
      <c r="K24" t="s">
        <v>91</v>
      </c>
      <c r="L24" s="21">
        <f>0.25*SUM(L22:L23)</f>
        <v>1.2075</v>
      </c>
      <c r="M24" t="s">
        <v>92</v>
      </c>
      <c r="N24" t="s">
        <v>99</v>
      </c>
    </row>
    <row r="25" spans="1:14" x14ac:dyDescent="0.2">
      <c r="A25" s="193" t="s">
        <v>86</v>
      </c>
      <c r="B25" s="11">
        <v>130.4</v>
      </c>
      <c r="C25" s="147" t="s">
        <v>119</v>
      </c>
      <c r="D25" s="147"/>
      <c r="E25" s="147"/>
      <c r="G25" s="191" t="s">
        <v>18</v>
      </c>
      <c r="H25" s="192">
        <v>71.260000000000005</v>
      </c>
      <c r="I25" s="228"/>
      <c r="J25" t="s">
        <v>82</v>
      </c>
      <c r="K25" t="s">
        <v>91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85</v>
      </c>
      <c r="H26" s="236">
        <v>70.8</v>
      </c>
      <c r="I26" s="235"/>
      <c r="J26" s="200" t="s">
        <v>100</v>
      </c>
      <c r="K26" t="s">
        <v>91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129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295" t="s">
        <v>121</v>
      </c>
      <c r="C37" s="295" t="s">
        <v>73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296"/>
      <c r="C38" s="296"/>
      <c r="D38" s="180"/>
      <c r="E38" s="180"/>
      <c r="F38" s="180"/>
      <c r="G38" s="178" t="s">
        <v>124</v>
      </c>
      <c r="H38" s="179" t="s">
        <v>87</v>
      </c>
      <c r="K38" s="21"/>
      <c r="M38" s="11"/>
    </row>
    <row r="39" spans="1:16" x14ac:dyDescent="0.2">
      <c r="A39" s="190" t="s">
        <v>85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86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85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129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295" t="s">
        <v>121</v>
      </c>
      <c r="C52" s="295" t="s">
        <v>73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296"/>
      <c r="C53" s="296"/>
      <c r="D53" s="180"/>
      <c r="E53" s="180"/>
      <c r="F53" s="180"/>
      <c r="G53" s="178" t="s">
        <v>124</v>
      </c>
      <c r="H53" s="179" t="s">
        <v>87</v>
      </c>
    </row>
    <row r="54" spans="1:8" x14ac:dyDescent="0.2">
      <c r="A54" s="190" t="s">
        <v>85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86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85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129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295" t="s">
        <v>121</v>
      </c>
      <c r="C67" s="295" t="s">
        <v>73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296"/>
      <c r="C68" s="296"/>
      <c r="D68" s="180"/>
      <c r="E68" s="180"/>
      <c r="F68" s="180"/>
      <c r="G68" s="178" t="s">
        <v>124</v>
      </c>
      <c r="H68" s="179" t="s">
        <v>87</v>
      </c>
    </row>
    <row r="69" spans="1:8" x14ac:dyDescent="0.2">
      <c r="A69" s="190" t="s">
        <v>85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86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85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129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295" t="s">
        <v>121</v>
      </c>
      <c r="C82" s="295" t="s">
        <v>73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296"/>
      <c r="C83" s="296"/>
      <c r="D83" s="180"/>
      <c r="E83" s="180"/>
      <c r="F83" s="180"/>
      <c r="G83" s="178" t="s">
        <v>124</v>
      </c>
      <c r="H83" s="179" t="s">
        <v>87</v>
      </c>
    </row>
    <row r="84" spans="1:8" x14ac:dyDescent="0.2">
      <c r="A84" s="190" t="s">
        <v>85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86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85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129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/>
      <c r="C94" s="147">
        <f>+((B94/$B$25)*'Indeks '!$D$187)*(H94/$H$25)</f>
        <v>0</v>
      </c>
      <c r="G94" s="191" t="s">
        <v>64</v>
      </c>
      <c r="H94" s="192"/>
    </row>
    <row r="95" spans="1:8" x14ac:dyDescent="0.2">
      <c r="A95" s="194" t="s">
        <v>18</v>
      </c>
      <c r="B95" s="13"/>
      <c r="C95" s="246">
        <f>+((B95/$B$25)*'Indeks '!$D$187)*(H95/$H$25)</f>
        <v>0</v>
      </c>
      <c r="D95" s="13"/>
      <c r="E95" s="13"/>
      <c r="F95" s="13"/>
      <c r="G95" s="196" t="s">
        <v>65</v>
      </c>
      <c r="H95" s="195"/>
    </row>
  </sheetData>
  <mergeCells count="12"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2024-08-16T13:11:27Z</cp:lastPrinted>
  <dcterms:created xsi:type="dcterms:W3CDTF">2009-05-19T06:17:18Z</dcterms:created>
  <dcterms:modified xsi:type="dcterms:W3CDTF">2024-09-19T07:22:31Z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