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ILON12\"/>
    </mc:Choice>
  </mc:AlternateContent>
  <xr:revisionPtr revIDLastSave="0" documentId="13_ncr:1_{08667367-1459-4A8D-98CC-D81B09407B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Indeks!$A$1:$J$276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7" i="1" l="1"/>
  <c r="E247" i="1"/>
  <c r="C248" i="1"/>
  <c r="C247" i="1"/>
  <c r="C246" i="1"/>
  <c r="F246" i="1"/>
  <c r="E246" i="1"/>
  <c r="D246" i="1"/>
  <c r="C139" i="8"/>
  <c r="C138" i="8"/>
  <c r="C137" i="8"/>
  <c r="C136" i="8"/>
  <c r="C135" i="8"/>
  <c r="C134" i="8"/>
  <c r="C133" i="8"/>
  <c r="C132" i="8"/>
  <c r="C131" i="8"/>
  <c r="C130" i="8"/>
  <c r="C129" i="8"/>
  <c r="D247" i="1" s="1"/>
  <c r="H247" i="1" s="1"/>
  <c r="C128" i="8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6" i="1"/>
  <c r="A237" i="1" s="1"/>
  <c r="A238" i="1" s="1"/>
  <c r="A239" i="1" s="1"/>
  <c r="A240" i="1" s="1"/>
  <c r="A241" i="1" s="1"/>
  <c r="A242" i="1" s="1"/>
  <c r="A243" i="1" s="1"/>
  <c r="A244" i="1" s="1"/>
  <c r="A245" i="1" s="1"/>
  <c r="A235" i="1"/>
  <c r="H246" i="1" l="1"/>
  <c r="E245" i="1"/>
  <c r="E244" i="1"/>
  <c r="E243" i="1"/>
  <c r="C245" i="1"/>
  <c r="C244" i="1"/>
  <c r="C243" i="1"/>
  <c r="E242" i="1"/>
  <c r="E241" i="1"/>
  <c r="C242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F187" i="1" s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H109" i="1"/>
  <c r="C109" i="2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D68" i="2"/>
  <c r="E19" i="2"/>
  <c r="C11" i="8"/>
  <c r="C13" i="8"/>
  <c r="I13" i="8"/>
  <c r="D163" i="1"/>
  <c r="F67" i="2"/>
  <c r="C67" i="2"/>
  <c r="C18" i="5"/>
  <c r="C67" i="5"/>
  <c r="I10" i="1"/>
  <c r="C14" i="8"/>
  <c r="D13" i="8"/>
  <c r="F189" i="1"/>
  <c r="F188" i="1"/>
  <c r="D196" i="1"/>
  <c r="F192" i="1" l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E104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D104" i="2"/>
  <c r="F68" i="2"/>
  <c r="G67" i="2"/>
  <c r="E121" i="2"/>
  <c r="D105" i="2"/>
  <c r="C34" i="2"/>
  <c r="C41" i="5"/>
  <c r="E57" i="2"/>
  <c r="E89" i="2"/>
  <c r="F104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D157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E157" i="2"/>
  <c r="D85" i="2"/>
  <c r="C18" i="2"/>
  <c r="E39" i="2"/>
  <c r="D39" i="2"/>
  <c r="C52" i="5"/>
  <c r="I80" i="1"/>
  <c r="D59" i="2"/>
  <c r="C26" i="2"/>
  <c r="C157" i="2"/>
  <c r="D46" i="2"/>
  <c r="F39" i="2"/>
  <c r="G157" i="2"/>
  <c r="F157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104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E138" i="2" l="1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H157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F160" i="1"/>
  <c r="G160" i="1"/>
  <c r="E160" i="1"/>
  <c r="C160" i="5"/>
  <c r="M13" i="8"/>
  <c r="H156" i="2" l="1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C251" i="1" l="1"/>
  <c r="H214" i="2"/>
  <c r="D213" i="5"/>
  <c r="F216" i="2"/>
  <c r="C214" i="5"/>
  <c r="D214" i="5" s="1"/>
  <c r="C215" i="2"/>
  <c r="D215" i="2"/>
  <c r="G215" i="2"/>
  <c r="E215" i="2"/>
  <c r="F215" i="2"/>
  <c r="C249" i="1" l="1"/>
  <c r="C250" i="1"/>
  <c r="C254" i="1"/>
  <c r="H215" i="2"/>
  <c r="C215" i="5"/>
  <c r="C216" i="2"/>
  <c r="D216" i="2"/>
  <c r="G216" i="2"/>
  <c r="E216" i="2"/>
  <c r="C253" i="1" l="1"/>
  <c r="C257" i="1"/>
  <c r="C252" i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59" i="1"/>
  <c r="C258" i="1"/>
  <c r="C263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H239" i="2" l="1"/>
  <c r="D238" i="5"/>
  <c r="C239" i="5"/>
  <c r="C240" i="2"/>
  <c r="D240" i="2"/>
  <c r="G240" i="2"/>
  <c r="F240" i="2"/>
  <c r="D248" i="1" l="1"/>
  <c r="G248" i="1"/>
  <c r="C240" i="5"/>
  <c r="C241" i="2"/>
  <c r="G241" i="2"/>
  <c r="D241" i="2"/>
  <c r="D239" i="5"/>
  <c r="E239" i="5"/>
  <c r="E241" i="2"/>
  <c r="F241" i="2"/>
  <c r="H240" i="2"/>
  <c r="D249" i="1" l="1"/>
  <c r="F244" i="2"/>
  <c r="G249" i="1"/>
  <c r="E243" i="2"/>
  <c r="C241" i="5"/>
  <c r="C242" i="2"/>
  <c r="G242" i="2"/>
  <c r="D242" i="2"/>
  <c r="E242" i="2"/>
  <c r="H241" i="2"/>
  <c r="F242" i="2"/>
  <c r="D240" i="5"/>
  <c r="D250" i="1" l="1"/>
  <c r="F248" i="1"/>
  <c r="C243" i="5"/>
  <c r="C244" i="2"/>
  <c r="G244" i="2"/>
  <c r="D244" i="2"/>
  <c r="E244" i="2"/>
  <c r="E248" i="1"/>
  <c r="F245" i="2"/>
  <c r="G250" i="1"/>
  <c r="H242" i="2"/>
  <c r="D241" i="5"/>
  <c r="F243" i="2"/>
  <c r="C242" i="5"/>
  <c r="H242" i="5" s="1"/>
  <c r="C243" i="2"/>
  <c r="G243" i="2"/>
  <c r="D243" i="2"/>
  <c r="H244" i="2" l="1"/>
  <c r="D243" i="5"/>
  <c r="F249" i="1"/>
  <c r="C244" i="5"/>
  <c r="D244" i="5" s="1"/>
  <c r="C245" i="2"/>
  <c r="D245" i="2"/>
  <c r="G245" i="2"/>
  <c r="D251" i="1"/>
  <c r="E245" i="2"/>
  <c r="E249" i="1"/>
  <c r="H248" i="1"/>
  <c r="E246" i="2" s="1"/>
  <c r="G251" i="1"/>
  <c r="H243" i="2"/>
  <c r="D242" i="5"/>
  <c r="G242" i="5"/>
  <c r="E242" i="5"/>
  <c r="F242" i="5"/>
  <c r="F246" i="2" l="1"/>
  <c r="F250" i="1"/>
  <c r="D252" i="1"/>
  <c r="C245" i="5"/>
  <c r="D245" i="5" s="1"/>
  <c r="C246" i="2"/>
  <c r="D246" i="2"/>
  <c r="G246" i="2"/>
  <c r="H245" i="2"/>
  <c r="E250" i="1"/>
  <c r="H249" i="1"/>
  <c r="E247" i="2" s="1"/>
  <c r="G252" i="1"/>
  <c r="H246" i="2" l="1"/>
  <c r="D253" i="1"/>
  <c r="C246" i="5"/>
  <c r="C247" i="2"/>
  <c r="G247" i="2"/>
  <c r="D247" i="2"/>
  <c r="E245" i="5"/>
  <c r="F247" i="2"/>
  <c r="F251" i="1"/>
  <c r="E251" i="1"/>
  <c r="H250" i="1"/>
  <c r="E248" i="2" s="1"/>
  <c r="G253" i="1"/>
  <c r="H247" i="2" l="1"/>
  <c r="F248" i="2"/>
  <c r="D246" i="5"/>
  <c r="D254" i="1"/>
  <c r="F252" i="1"/>
  <c r="C247" i="5"/>
  <c r="D247" i="5" s="1"/>
  <c r="C248" i="2"/>
  <c r="D248" i="2"/>
  <c r="G248" i="2"/>
  <c r="E252" i="1"/>
  <c r="H251" i="1"/>
  <c r="E249" i="2" s="1"/>
  <c r="G254" i="1"/>
  <c r="C248" i="5" l="1"/>
  <c r="E248" i="5" s="1"/>
  <c r="C249" i="2"/>
  <c r="G249" i="2"/>
  <c r="D249" i="2"/>
  <c r="D255" i="1"/>
  <c r="F249" i="2"/>
  <c r="H248" i="2"/>
  <c r="F253" i="1"/>
  <c r="E253" i="1"/>
  <c r="H252" i="1"/>
  <c r="F250" i="2" s="1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H266" i="5" s="1"/>
  <c r="C267" i="2"/>
  <c r="D267" i="2"/>
  <c r="G267" i="2"/>
  <c r="E267" i="2"/>
  <c r="F267" i="2"/>
  <c r="H266" i="2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<sst xmlns="http://schemas.openxmlformats.org/spreadsheetml/2006/main" count="1179" uniqueCount="127">
  <si>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</si>
  <si>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</si>
  <si>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</si>
  <si>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</si>
  <si>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</si>
  <si>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</si>
  <si>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</si>
  <si>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</si>
  <si>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</si>
  <si>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</si>
  <si>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</si>
  <si>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</si>
  <si>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</si>
  <si>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</si>
  <si>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</si>
  <si>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</si>
  <si>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</si>
  <si>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</si>
  <si>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</si>
  <si>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</si>
  <si>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</si>
  <si>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</si>
  <si>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</si>
  <si>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</si>
  <si>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</si>
  <si>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</si>
  <si>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</si>
  <si>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</si>
  <si>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</si>
  <si>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</si>
  <si>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</si>
  <si>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</si>
  <si>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</si>
  <si>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</si>
  <si>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</si>
  <si>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</si>
  <si>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</si>
  <si>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</si>
  <si>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</si>
  <si>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</si>
  <si>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</si>
  <si>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</si>
  <si>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</si>
  <si>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</si>
  <si>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</si>
  <si>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</si>
  <si>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</si>
  <si>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</si>
  <si>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</si>
  <si>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</si>
  <si>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</si>
  <si>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</si>
  <si>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</si>
  <si>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</si>
  <si>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</si>
  <si>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</si>
  <si>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</si>
  <si>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</si>
  <si>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</si>
  <si>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</si>
  <si>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</si>
  <si>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</si>
  <si>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</si>
  <si>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</si>
  <si>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</si>
  <si>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</si>
  <si>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</si>
  <si>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</si>
  <si>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</t>
    </r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</si>
  <si>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</si>
  <si>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</si>
  <si>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</si>
  <si>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</si>
  <si>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</si>
  <si>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</si>
  <si>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</si>
  <si>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</si>
  <si>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</si>
  <si>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</si>
  <si>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</si>
  <si>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</si>
  <si>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</si>
  <si>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</si>
  <si>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</si>
  <si>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</si>
  <si>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</si>
  <si>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</si>
  <si>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</si>
  <si>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</si>
  <si>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</si>
  <si>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</si>
  <si>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</si>
  <si>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</si>
  <si>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</si>
  <si>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</si>
  <si>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</si>
  <si>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</si>
  <si>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</si>
  <si>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</si>
  <si>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</si>
  <si>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</si>
  <si>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</si>
  <si>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</si>
  <si>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</si>
  <si>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r>
      <t>Indeks for prisudviklingen for syntetisk biodiesel er baseret på et svensk HVO-indeks, der offentliggøres på http://www.svenskkollektivtrafik.se/partnersamverkan/index/hvo-index/.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</si>
  <si>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</si>
  <si>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</si>
  <si>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</si>
  <si>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</si>
  <si>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</si>
  <si>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</si>
  <si>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</si>
  <si>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</si>
  <si>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</si>
  <si>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</si>
  <si>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</si>
  <si>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</si>
  <si>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</si>
  <si>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</si>
  <si>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</si>
  <si>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</si>
  <si>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</si>
  <si>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</si>
  <si>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</si>
  <si>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</si>
  <si>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 xml:space="preserve">DST offentliggør i december 2024 ILON12 med reviderede værdier. Historiske værdier fastholdes som delindeks for løn. Fra januar 2025 omregnes reviderede ILON12-prisniveau til omkostningsindeksets delindeks for løn med en korrektionsfaktor på 158,9*1,0101/160,1.   </t>
  </si>
  <si>
    <t>Note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</si>
</sst>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</font>
    <font>
      <sz val="12"/>
      <name val="Arial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0" fontId="4" fillId="12" borderId="0" xfId="0" applyFont="1" applyFill="1" applyAlignment="1">
      <alignment vertical="center" wrapText="1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6"/>
  <sheetViews>
    <sheetView tabSelected="1" view="pageBreakPreview" topLeftCell="A3" zoomScaleNormal="90" zoomScaleSheetLayoutView="100" workbookViewId="0">
      <selection activeCell="D247" sqref="D247:H247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16.710937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69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3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70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69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76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.75" thickBot="1" x14ac:dyDescent="0.25">
      <c r="A239" s="12">
        <f t="shared" si="61"/>
        <v>2024</v>
      </c>
      <c r="B239" s="13" t="s">
        <v>13</v>
      </c>
      <c r="C239" s="119">
        <f t="shared" si="64"/>
        <v>156.36348000000001</v>
      </c>
      <c r="D239" s="209">
        <f>+'Beregning HVO indeks'!C118</f>
        <v>344.99573617578505</v>
      </c>
      <c r="E239" s="170">
        <f>131/99.8*118.5</f>
        <v>155.54609218436875</v>
      </c>
      <c r="F239" s="154">
        <f>+F$175*(122.7/103.6)</f>
        <v>124.39055483709409</v>
      </c>
      <c r="G239" s="120">
        <v>3.43</v>
      </c>
      <c r="H239" s="101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:C242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117">
        <f t="shared" si="68"/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 t="shared" ref="H242:H247" si="70">(100+((C242-$C$163)/$C$163*100*$C$160)+((D242-$D$163)/$D$163*100*$D$160)+((E242-$E$163)/$E$163*100*$E$160)+((F242-$F$163)/$F$163*100*$F$160)+((G242-$G$163)/$G$163*100*$G$160))*$H$163/100</f>
        <v>152.73494619286586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114">
        <f>158.9*1.0101</f>
        <v>160.50489000000002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 t="shared" si="70"/>
        <v>151.98251313199358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114">
        <f t="shared" ref="C244:C245" si="71">158.9*1.0101</f>
        <v>160.50489000000002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 t="shared" si="70"/>
        <v>150.01147572882357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119">
        <f t="shared" si="71"/>
        <v>160.50489000000002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 t="shared" si="70"/>
        <v>150.98701829695824</v>
      </c>
      <c r="L245" s="296"/>
    </row>
    <row r="246" spans="1:12" ht="15" x14ac:dyDescent="0.2">
      <c r="A246" s="2">
        <v>2025</v>
      </c>
      <c r="B246" s="142" t="s">
        <v>8</v>
      </c>
      <c r="C246" s="319">
        <f>(158.9*1.0101/160.1)*160.3</f>
        <v>160.7053957963773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 t="shared" si="70"/>
        <v>152.05711992493821</v>
      </c>
      <c r="J246" t="s">
        <v>126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0">
        <f t="shared" ref="C247:C248" si="72">(158.9*1.0101/160.1)*160.3</f>
        <v>160.7053957963773</v>
      </c>
      <c r="D247" s="114">
        <f>+'Beregning HVO indeks'!C129</f>
        <v>310.7664040052199</v>
      </c>
      <c r="E247" s="169">
        <f>131/99.8*118.9</f>
        <v>156.07114228456916</v>
      </c>
      <c r="F247" s="153">
        <f>+F$175*(123.5/103.6)</f>
        <v>125.20157719952012</v>
      </c>
      <c r="G247" s="116">
        <v>2.82</v>
      </c>
      <c r="H247" s="55">
        <f t="shared" si="70"/>
        <v>151.74548178547241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1">
        <f t="shared" si="72"/>
        <v>160.7053957963773</v>
      </c>
      <c r="D248" s="129">
        <f t="shared" si="33"/>
        <v>310.7664040052199</v>
      </c>
      <c r="E248" s="129">
        <f t="shared" ref="E248:E257" si="73">E247*(1+(((SUM(E$234:E$245)-SUM(E$222:E$233))/SUM(E$222:E$233))/12))</f>
        <v>156.22573232467309</v>
      </c>
      <c r="F248" s="129">
        <f t="shared" ref="F248:F257" si="74">F247*(1+(((SUM(F$234:F$245)-SUM(F$222:F$233))/SUM(F$222:F$233))/12))</f>
        <v>125.20723372690783</v>
      </c>
      <c r="G248" s="72">
        <f t="shared" ref="G248:G269" si="75">+G247</f>
        <v>2.82</v>
      </c>
      <c r="H248" s="290">
        <f t="shared" ref="H248:H257" si="76">(100+((C248-$C$163)/$C$163*100*$C$160)+((D248-$D$163)/$D$163*100*$D$160)+((E248-$E$163)/$E$163*100*$E$160)+((F248-$F$163)/$F$163*100*$F$160)+((G248-$G$163)/$G$163*100*$G$160))*$H$163/100</f>
        <v>151.75671361264861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128">
        <f t="shared" ref="C249:C257" si="77">C246*(1+(((SUM(C$234:C$245)-SUM(C$222:C$233))/SUM(C$222:C$233))/4))</f>
        <v>162.26557734723377</v>
      </c>
      <c r="D249" s="130">
        <f t="shared" si="33"/>
        <v>310.7664040052199</v>
      </c>
      <c r="E249" s="128">
        <f t="shared" si="73"/>
        <v>156.38047548777047</v>
      </c>
      <c r="F249" s="128">
        <f t="shared" si="74"/>
        <v>125.21289050985385</v>
      </c>
      <c r="G249" s="127">
        <f t="shared" si="75"/>
        <v>2.82</v>
      </c>
      <c r="H249" s="289">
        <f t="shared" si="76"/>
        <v>152.62993482681284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128">
        <f t="shared" si="77"/>
        <v>162.26557734723377</v>
      </c>
      <c r="D250" s="128">
        <f t="shared" si="33"/>
        <v>310.7664040052199</v>
      </c>
      <c r="E250" s="128">
        <f t="shared" si="73"/>
        <v>156.53537192553119</v>
      </c>
      <c r="F250" s="128">
        <f t="shared" si="74"/>
        <v>125.21854754836971</v>
      </c>
      <c r="G250" s="71">
        <f t="shared" si="75"/>
        <v>2.82</v>
      </c>
      <c r="H250" s="289">
        <f t="shared" si="76"/>
        <v>152.64118792371295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129">
        <f t="shared" si="77"/>
        <v>162.26557734723377</v>
      </c>
      <c r="D251" s="129">
        <f t="shared" si="33"/>
        <v>310.7664040052199</v>
      </c>
      <c r="E251" s="129">
        <f t="shared" si="73"/>
        <v>156.69042178977534</v>
      </c>
      <c r="F251" s="129">
        <f t="shared" si="74"/>
        <v>125.22420484246696</v>
      </c>
      <c r="G251" s="72">
        <f t="shared" si="75"/>
        <v>2.82</v>
      </c>
      <c r="H251" s="290">
        <f t="shared" si="76"/>
        <v>152.65245167124499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128">
        <f t="shared" si="77"/>
        <v>163.84090566064648</v>
      </c>
      <c r="D252" s="128">
        <f t="shared" si="33"/>
        <v>310.7664040052199</v>
      </c>
      <c r="E252" s="128">
        <f t="shared" si="73"/>
        <v>156.8456252324734</v>
      </c>
      <c r="F252" s="128">
        <f t="shared" si="74"/>
        <v>125.22986239215716</v>
      </c>
      <c r="G252" s="71">
        <f t="shared" si="75"/>
        <v>2.82</v>
      </c>
      <c r="H252" s="289">
        <f t="shared" si="76"/>
        <v>153.53407321441827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128">
        <f t="shared" si="77"/>
        <v>163.84090566064648</v>
      </c>
      <c r="D253" s="128">
        <f t="shared" si="33"/>
        <v>310.7664040052199</v>
      </c>
      <c r="E253" s="128">
        <f t="shared" si="73"/>
        <v>157.00098240574636</v>
      </c>
      <c r="F253" s="128">
        <f t="shared" si="74"/>
        <v>125.23552019745183</v>
      </c>
      <c r="G253" s="71">
        <f t="shared" si="75"/>
        <v>2.82</v>
      </c>
      <c r="H253" s="289">
        <f t="shared" si="76"/>
        <v>153.54535829480594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129">
        <f t="shared" si="77"/>
        <v>163.84090566064648</v>
      </c>
      <c r="D254" s="129">
        <f t="shared" si="33"/>
        <v>310.7664040052199</v>
      </c>
      <c r="E254" s="129">
        <f t="shared" si="73"/>
        <v>157.15649346186592</v>
      </c>
      <c r="F254" s="129">
        <f t="shared" si="74"/>
        <v>125.24117825836255</v>
      </c>
      <c r="G254" s="72">
        <f t="shared" si="75"/>
        <v>2.82</v>
      </c>
      <c r="H254" s="290">
        <f t="shared" si="76"/>
        <v>153.55665405743832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si="77"/>
        <v>165.43152778643525</v>
      </c>
      <c r="D255" s="128">
        <f t="shared" si="33"/>
        <v>310.7664040052199</v>
      </c>
      <c r="E255" s="128">
        <f t="shared" si="73"/>
        <v>157.31215855325459</v>
      </c>
      <c r="F255" s="128">
        <f t="shared" si="74"/>
        <v>125.24683657490084</v>
      </c>
      <c r="G255" s="71">
        <f t="shared" si="75"/>
        <v>2.82</v>
      </c>
      <c r="H255" s="289">
        <f t="shared" si="76"/>
        <v>154.44675726745331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77"/>
        <v>165.43152778643525</v>
      </c>
      <c r="D256" s="128">
        <f t="shared" si="33"/>
        <v>310.7664040052199</v>
      </c>
      <c r="E256" s="128">
        <f t="shared" si="73"/>
        <v>157.46797783248587</v>
      </c>
      <c r="F256" s="128">
        <f t="shared" si="74"/>
        <v>125.25249514707826</v>
      </c>
      <c r="G256" s="71">
        <f t="shared" si="75"/>
        <v>2.82</v>
      </c>
      <c r="H256" s="289">
        <f t="shared" si="76"/>
        <v>154.45807442626091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77"/>
        <v>165.43152778643525</v>
      </c>
      <c r="D257" s="293">
        <f t="shared" si="33"/>
        <v>310.7664040052199</v>
      </c>
      <c r="E257" s="293">
        <f t="shared" si="73"/>
        <v>157.62395145228436</v>
      </c>
      <c r="F257" s="293">
        <f t="shared" si="74"/>
        <v>125.25815397490636</v>
      </c>
      <c r="G257" s="294">
        <f t="shared" si="75"/>
        <v>2.82</v>
      </c>
      <c r="H257" s="295">
        <f t="shared" si="76"/>
        <v>154.46940229901998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166.91927147404431</v>
      </c>
      <c r="D258" s="128">
        <f t="shared" si="33"/>
        <v>310.7664040052199</v>
      </c>
      <c r="E258" s="128">
        <f>E257*(1+(((SUM(E$246:E$257)-SUM(E$234:E$245))/SUM(E$234:E$245))/12))</f>
        <v>157.73386734433777</v>
      </c>
      <c r="F258" s="128">
        <f>F257*(1+(((SUM(F$246:F$257)-SUM(F$234:F$245))/SUM(F$234:F$245))/12))</f>
        <v>125.29779503599744</v>
      </c>
      <c r="G258" s="71">
        <f t="shared" si="75"/>
        <v>2.82</v>
      </c>
      <c r="H258" s="300">
        <f>(100+((C258-$C$163)/$C$163*100*$C$160)+((D258-$D$163)/$D$163*100*$D$160)+((E258-$E$163)/$E$163*100*$E$160)+((F258-$F$163)/$F$163*100*$F$160)+((G258-$G$163)/$G$163*100*$G$160))*$H$163/100</f>
        <v>155.30264760814924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78">C256*(1+(((SUM(C$246:C$257)-SUM(C$234:C$245))/SUM(C$234:C$245))/4))</f>
        <v>166.91927147404431</v>
      </c>
      <c r="D259" s="128">
        <f t="shared" si="33"/>
        <v>310.7664040052199</v>
      </c>
      <c r="E259" s="128">
        <f t="shared" ref="E259:E269" si="79">E258*(1+(((SUM(E$246:E$257)-SUM(E$234:E$245))/SUM(E$234:E$245))/12))</f>
        <v>157.84385988402764</v>
      </c>
      <c r="F259" s="128">
        <f t="shared" ref="F259:F269" si="80">F258*(1+(((SUM(F$246:F$257)-SUM(F$234:F$245))/SUM(F$234:F$245))/12))</f>
        <v>125.33744864248915</v>
      </c>
      <c r="G259" s="71">
        <f t="shared" si="75"/>
        <v>2.82</v>
      </c>
      <c r="H259" s="300">
        <f t="shared" ref="H259:H269" si="81">(100+((C259-$C$163)/$C$163*100*$C$160)+((D259-$D$163)/$D$163*100*$D$160)+((E259-$E$163)/$E$163*100*$E$160)+((F259-$F$163)/$F$163*100*$F$160)+((G259-$G$163)/$G$163*100*$G$160))*$H$163/100</f>
        <v>155.31394155055514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78"/>
        <v>166.91927147404431</v>
      </c>
      <c r="D260" s="129">
        <f t="shared" ref="D260:D269" si="82">D259</f>
        <v>310.7664040052199</v>
      </c>
      <c r="E260" s="129">
        <f t="shared" si="79"/>
        <v>157.95392912480264</v>
      </c>
      <c r="F260" s="129">
        <f t="shared" si="80"/>
        <v>125.37711479835181</v>
      </c>
      <c r="G260" s="72">
        <f t="shared" si="75"/>
        <v>2.82</v>
      </c>
      <c r="H260" s="301">
        <f t="shared" si="81"/>
        <v>155.32524196876579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78"/>
        <v>168.4203946021363</v>
      </c>
      <c r="D261" s="130">
        <f t="shared" si="82"/>
        <v>310.7664040052199</v>
      </c>
      <c r="E261" s="128">
        <f t="shared" si="79"/>
        <v>158.06407512014871</v>
      </c>
      <c r="F261" s="128">
        <f t="shared" si="80"/>
        <v>125.41679350755697</v>
      </c>
      <c r="G261" s="127">
        <f t="shared" si="75"/>
        <v>2.82</v>
      </c>
      <c r="H261" s="300">
        <f t="shared" si="81"/>
        <v>156.16589866137991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78"/>
        <v>168.4203946021363</v>
      </c>
      <c r="D262" s="128">
        <f t="shared" si="82"/>
        <v>310.7664040052199</v>
      </c>
      <c r="E262" s="128">
        <f t="shared" si="79"/>
        <v>158.17429792358914</v>
      </c>
      <c r="F262" s="128">
        <f t="shared" si="80"/>
        <v>125.45648477407745</v>
      </c>
      <c r="G262" s="71">
        <f t="shared" si="75"/>
        <v>2.82</v>
      </c>
      <c r="H262" s="300">
        <f t="shared" si="81"/>
        <v>156.17721204342106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78"/>
        <v>168.4203946021363</v>
      </c>
      <c r="D263" s="129">
        <f t="shared" si="82"/>
        <v>310.7664040052199</v>
      </c>
      <c r="E263" s="129">
        <f t="shared" si="79"/>
        <v>158.28459758868451</v>
      </c>
      <c r="F263" s="129">
        <f t="shared" si="80"/>
        <v>125.49618860188733</v>
      </c>
      <c r="G263" s="72">
        <f t="shared" si="75"/>
        <v>2.82</v>
      </c>
      <c r="H263" s="301">
        <f t="shared" si="81"/>
        <v>156.18853191349336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78"/>
        <v>169.93501749347189</v>
      </c>
      <c r="D264" s="128">
        <f t="shared" si="82"/>
        <v>310.7664040052199</v>
      </c>
      <c r="E264" s="128">
        <f t="shared" si="79"/>
        <v>158.39497416903271</v>
      </c>
      <c r="F264" s="128">
        <f t="shared" si="80"/>
        <v>125.53590499496192</v>
      </c>
      <c r="G264" s="71">
        <f t="shared" si="75"/>
        <v>2.82</v>
      </c>
      <c r="H264" s="300">
        <f t="shared" si="81"/>
        <v>157.03666650293493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78"/>
        <v>169.93501749347189</v>
      </c>
      <c r="D265" s="128">
        <f t="shared" si="82"/>
        <v>310.7664040052199</v>
      </c>
      <c r="E265" s="128">
        <f t="shared" si="79"/>
        <v>158.50542771826909</v>
      </c>
      <c r="F265" s="128">
        <f t="shared" si="80"/>
        <v>125.57563395727783</v>
      </c>
      <c r="G265" s="71">
        <f t="shared" si="75"/>
        <v>2.82</v>
      </c>
      <c r="H265" s="300">
        <f t="shared" si="81"/>
        <v>157.04799936131491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78"/>
        <v>169.93501749347189</v>
      </c>
      <c r="D266" s="129">
        <f t="shared" si="82"/>
        <v>310.7664040052199</v>
      </c>
      <c r="E266" s="129">
        <f t="shared" si="79"/>
        <v>158.61595829006632</v>
      </c>
      <c r="F266" s="129">
        <f t="shared" si="80"/>
        <v>125.6153754928129</v>
      </c>
      <c r="G266" s="72">
        <f t="shared" si="75"/>
        <v>2.82</v>
      </c>
      <c r="H266" s="301">
        <f t="shared" si="81"/>
        <v>157.05933871997678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78"/>
        <v>171.46326155288736</v>
      </c>
      <c r="D267" s="128">
        <f t="shared" si="82"/>
        <v>310.7664040052199</v>
      </c>
      <c r="E267" s="128">
        <f t="shared" si="79"/>
        <v>158.72656593813457</v>
      </c>
      <c r="F267" s="128">
        <f t="shared" si="80"/>
        <v>125.65512960554625</v>
      </c>
      <c r="G267" s="71">
        <f t="shared" si="75"/>
        <v>2.82</v>
      </c>
      <c r="H267" s="300">
        <f t="shared" si="81"/>
        <v>157.91501831749321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78"/>
        <v>171.46326155288736</v>
      </c>
      <c r="D268" s="128">
        <f t="shared" si="82"/>
        <v>310.7664040052199</v>
      </c>
      <c r="E268" s="128">
        <f t="shared" si="79"/>
        <v>158.8372507162214</v>
      </c>
      <c r="F268" s="128">
        <f t="shared" si="80"/>
        <v>125.69489629945824</v>
      </c>
      <c r="G268" s="71">
        <f t="shared" si="75"/>
        <v>2.82</v>
      </c>
      <c r="H268" s="300">
        <f t="shared" si="81"/>
        <v>157.92637068898864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78"/>
        <v>171.46326155288736</v>
      </c>
      <c r="D269" s="297">
        <f t="shared" si="82"/>
        <v>310.7664040052199</v>
      </c>
      <c r="E269" s="297">
        <f t="shared" si="79"/>
        <v>158.94801267811189</v>
      </c>
      <c r="F269" s="297">
        <f t="shared" si="80"/>
        <v>125.7346755785305</v>
      </c>
      <c r="G269" s="298">
        <f t="shared" si="75"/>
        <v>2.82</v>
      </c>
      <c r="H269" s="300">
        <f t="shared" si="81"/>
        <v>157.93772957304105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115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114</v>
      </c>
      <c r="B274" s="167" t="s">
        <v>116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ht="15" x14ac:dyDescent="0.2">
      <c r="A275" s="163" t="s">
        <v>71</v>
      </c>
      <c r="B275" s="164" t="s">
        <v>74</v>
      </c>
      <c r="C275" s="164"/>
      <c r="D275" s="164"/>
      <c r="E275" s="164"/>
      <c r="F275" s="313"/>
      <c r="G275" s="164"/>
      <c r="H275" s="316"/>
      <c r="I275" s="164"/>
      <c r="J275" s="164"/>
      <c r="K275" s="165"/>
    </row>
    <row r="276" spans="1:11" ht="33" customHeight="1" x14ac:dyDescent="0.2">
      <c r="A276" s="322" t="s">
        <v>124</v>
      </c>
      <c r="B276" s="323" t="s">
        <v>125</v>
      </c>
      <c r="C276" s="323"/>
      <c r="D276" s="323"/>
      <c r="E276" s="323"/>
      <c r="F276" s="323"/>
      <c r="G276" s="323"/>
      <c r="H276" s="323"/>
      <c r="I276" s="323"/>
      <c r="J276" s="323"/>
    </row>
  </sheetData>
  <mergeCells count="1">
    <mergeCell ref="B276:J276"/>
  </mergeCells>
  <phoneticPr fontId="4" type="noConversion"/>
  <pageMargins left="0.74803149606299213" right="0.74803149606299213" top="0.78740157480314965" bottom="0.39370078740157483" header="0" footer="0"/>
  <pageSetup paperSize="9" scale="96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6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topLeftCell="A220" zoomScaleNormal="100" workbookViewId="0">
      <selection activeCell="C245" sqref="C245:H245"/>
    </sheetView>
  </sheetViews>
  <sheetFormatPr defaultRowHeight="12.75" x14ac:dyDescent="0.2"/>
  <cols>
    <col min="2" max="2" width="9.5703125" customWidth="1"/>
    <col min="3" max="3" width="12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76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8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0.58346669612981061</v>
      </c>
      <c r="D241" s="217">
        <f>(Indeks!D243/Indeks!D$163*Indeks!D$160)/(Indeks!$H243/Indeks!$H$163)</f>
        <v>0.24350654533252461</v>
      </c>
      <c r="E241" s="217">
        <f>(Indeks!E243/Indeks!E$163*Indeks!E$160)/(Indeks!$H243/Indeks!$H$163)</f>
        <v>7.1366694051231083E-2</v>
      </c>
      <c r="F241" s="217">
        <f>(Indeks!F243/Indeks!F$163*Indeks!F$160)/(Indeks!$H243/Indeks!$H$163)</f>
        <v>7.6417173654055578E-2</v>
      </c>
      <c r="G241" s="217">
        <f>(Indeks!G243/Indeks!G$163*Indeks!G$160)/(Indeks!$H243/Indeks!$H$163)</f>
        <v>2.5242890832378091E-2</v>
      </c>
      <c r="H241" s="217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0.59113300749691444</v>
      </c>
      <c r="D242" s="61">
        <f>(Indeks!D244/Indeks!D$163*Indeks!D$160)/(Indeks!$H244/Indeks!$H$163)</f>
        <v>0.23580043414270488</v>
      </c>
      <c r="E242" s="61">
        <f>(Indeks!E244/Indeks!E$163*Indeks!E$160)/(Indeks!$H244/Indeks!$H$163)</f>
        <v>7.2061969637991677E-2</v>
      </c>
      <c r="F242" s="61">
        <f>(Indeks!F244/Indeks!F$163*Indeks!F$160)/(Indeks!$H244/Indeks!$H$163)</f>
        <v>7.7358599013355248E-2</v>
      </c>
      <c r="G242" s="61">
        <f>(Indeks!G244/Indeks!G$163*Indeks!G$160)/(Indeks!$H244/Indeks!$H$163)</f>
        <v>2.3645989709033928E-2</v>
      </c>
      <c r="H242" s="61">
        <f t="shared" si="33"/>
        <v>1.0000000000000002</v>
      </c>
    </row>
    <row r="243" spans="1:8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0.58731363667452674</v>
      </c>
      <c r="D243" s="62">
        <f>(Indeks!D245/Indeks!D$163*Indeks!D$160)/(Indeks!$H245/Indeks!$H$163)</f>
        <v>0.24002342528133266</v>
      </c>
      <c r="E243" s="62">
        <f>(Indeks!E245/Indeks!E$163*Indeks!E$160)/(Indeks!$H245/Indeks!$H$163)</f>
        <v>7.2017879208147784E-2</v>
      </c>
      <c r="F243" s="62">
        <f>(Indeks!F245/Indeks!F$163*Indeks!F$160)/(Indeks!$H245/Indeks!$H$163)</f>
        <v>7.6485374226790567E-2</v>
      </c>
      <c r="G243" s="62">
        <f>(Indeks!G245/Indeks!G$163*Indeks!G$160)/(Indeks!$H245/Indeks!$H$163)</f>
        <v>2.415968460920228E-2</v>
      </c>
      <c r="H243" s="62">
        <f t="shared" si="33"/>
        <v>1</v>
      </c>
    </row>
    <row r="244" spans="1:8" x14ac:dyDescent="0.2">
      <c r="A244" s="2">
        <v>2025</v>
      </c>
      <c r="B244" t="s">
        <v>8</v>
      </c>
      <c r="C244" s="61">
        <f>(Indeks!C246/Indeks!C$163*Indeks!C$160)/(Indeks!$H246/Indeks!$H$163)</f>
        <v>0.58390893851955417</v>
      </c>
      <c r="D244" s="61">
        <f>(Indeks!D246/Indeks!D$163*Indeks!D$160)/(Indeks!$H246/Indeks!$H$163)</f>
        <v>0.24659964656984937</v>
      </c>
      <c r="E244" s="61">
        <f>(Indeks!E246/Indeks!E$163*Indeks!E$160)/(Indeks!$H246/Indeks!$H$163)</f>
        <v>7.1271886147463173E-2</v>
      </c>
      <c r="F244" s="61">
        <f>(Indeks!F246/Indeks!F$163*Indeks!F$160)/(Indeks!$H246/Indeks!$H$163)</f>
        <v>7.6132496155284085E-2</v>
      </c>
      <c r="G244" s="61">
        <f>(Indeks!G246/Indeks!G$163*Indeks!G$160)/(Indeks!$H246/Indeks!$H$163)</f>
        <v>2.2087032607849125E-2</v>
      </c>
      <c r="H244" s="61">
        <f t="shared" ref="H244:H255" si="35">SUM(C244:G244)</f>
        <v>0.99999999999999989</v>
      </c>
    </row>
    <row r="245" spans="1:8" x14ac:dyDescent="0.2">
      <c r="A245" s="10">
        <f>A244</f>
        <v>2025</v>
      </c>
      <c r="B245" t="s">
        <v>9</v>
      </c>
      <c r="C245" s="61">
        <f>(Indeks!C247/Indeks!C$163*Indeks!C$160)/(Indeks!$H247/Indeks!$H$163)</f>
        <v>0.585108106317347</v>
      </c>
      <c r="D245" s="61">
        <f>(Indeks!D247/Indeks!D$163*Indeks!D$160)/(Indeks!$H247/Indeks!$H$163)</f>
        <v>0.24380297878729831</v>
      </c>
      <c r="E245" s="61">
        <f>(Indeks!E247/Indeks!E$163*Indeks!E$160)/(Indeks!$H247/Indeks!$H$163)</f>
        <v>7.1238512554880784E-2</v>
      </c>
      <c r="F245" s="61">
        <f>(Indeks!F247/Indeks!F$163*Indeks!F$160)/(Indeks!$H247/Indeks!$H$163)</f>
        <v>7.6474616982096705E-2</v>
      </c>
      <c r="G245" s="61">
        <f>(Indeks!G247/Indeks!G$163*Indeks!G$160)/(Indeks!$H247/Indeks!$H$163)</f>
        <v>2.3375785358377296E-2</v>
      </c>
      <c r="H245" s="61">
        <f t="shared" si="35"/>
        <v>1</v>
      </c>
    </row>
    <row r="246" spans="1:8" x14ac:dyDescent="0.2">
      <c r="A246" s="12">
        <f t="shared" ref="A246:A255" si="36">A245</f>
        <v>2025</v>
      </c>
      <c r="B246" s="13" t="s">
        <v>10</v>
      </c>
      <c r="C246" s="78">
        <f>(Indeks!C248/Indeks!C$163*Indeks!C$160)/(Indeks!$H248/Indeks!$H$163)</f>
        <v>0.58506480126037053</v>
      </c>
      <c r="D246" s="78">
        <f>(Indeks!D248/Indeks!D$163*Indeks!D$160)/(Indeks!$H248/Indeks!$H$163)</f>
        <v>0.24378493442631027</v>
      </c>
      <c r="E246" s="78">
        <f>(Indeks!E248/Indeks!E$163*Indeks!E$160)/(Indeks!$H248/Indeks!$H$163)</f>
        <v>7.1303797288242071E-2</v>
      </c>
      <c r="F246" s="78">
        <f>(Indeks!F248/Indeks!F$163*Indeks!F$160)/(Indeks!$H248/Indeks!$H$163)</f>
        <v>7.6472411756756398E-2</v>
      </c>
      <c r="G246" s="78">
        <f>(Indeks!G248/Indeks!G$163*Indeks!G$160)/(Indeks!$H248/Indeks!$H$163)</f>
        <v>2.3374055268320631E-2</v>
      </c>
      <c r="H246" s="78">
        <f t="shared" si="35"/>
        <v>1</v>
      </c>
    </row>
    <row r="247" spans="1:8" x14ac:dyDescent="0.2">
      <c r="A247" s="17">
        <f t="shared" si="36"/>
        <v>2025</v>
      </c>
      <c r="B247" s="18" t="s">
        <v>11</v>
      </c>
      <c r="C247" s="79">
        <f>(Indeks!C249/Indeks!C$163*Indeks!C$160)/(Indeks!$H249/Indeks!$H$163)</f>
        <v>0.58736505619827839</v>
      </c>
      <c r="D247" s="79">
        <f>(Indeks!D249/Indeks!D$163*Indeks!D$160)/(Indeks!$H249/Indeks!$H$163)</f>
        <v>0.24239020031549358</v>
      </c>
      <c r="E247" s="79">
        <f>(Indeks!E249/Indeks!E$163*Indeks!E$160)/(Indeks!$H249/Indeks!$H$163)</f>
        <v>7.0966079478599231E-2</v>
      </c>
      <c r="F247" s="79">
        <f>(Indeks!F249/Indeks!F$163*Indeks!F$160)/(Indeks!$H249/Indeks!$H$163)</f>
        <v>7.6038335592723369E-2</v>
      </c>
      <c r="G247" s="79">
        <f>(Indeks!G249/Indeks!G$163*Indeks!G$160)/(Indeks!$H249/Indeks!$H$163)</f>
        <v>2.324032841490551E-2</v>
      </c>
      <c r="H247" s="79">
        <f t="shared" si="35"/>
        <v>1</v>
      </c>
    </row>
    <row r="248" spans="1:8" x14ac:dyDescent="0.2">
      <c r="A248" s="10">
        <f t="shared" si="36"/>
        <v>2025</v>
      </c>
      <c r="B248" t="s">
        <v>12</v>
      </c>
      <c r="C248" s="77">
        <f>(Indeks!C250/Indeks!C$163*Indeks!C$160)/(Indeks!$H250/Indeks!$H$163)</f>
        <v>0.58732175415128141</v>
      </c>
      <c r="D248" s="77">
        <f>(Indeks!D250/Indeks!D$163*Indeks!D$160)/(Indeks!$H250/Indeks!$H$163)</f>
        <v>0.24237233069295663</v>
      </c>
      <c r="E248" s="77">
        <f>(Indeks!E250/Indeks!E$163*Indeks!E$160)/(Indeks!$H250/Indeks!$H$163)</f>
        <v>7.1031135113712521E-2</v>
      </c>
      <c r="F248" s="77">
        <f>(Indeks!F250/Indeks!F$163*Indeks!F$160)/(Indeks!$H250/Indeks!$H$163)</f>
        <v>7.6036164963309741E-2</v>
      </c>
      <c r="G248" s="77">
        <f>(Indeks!G250/Indeks!G$163*Indeks!G$160)/(Indeks!$H250/Indeks!$H$163)</f>
        <v>2.3238615078739821E-2</v>
      </c>
      <c r="H248" s="77">
        <f t="shared" si="35"/>
        <v>1.0000000000000002</v>
      </c>
    </row>
    <row r="249" spans="1:8" x14ac:dyDescent="0.2">
      <c r="A249" s="12">
        <f t="shared" si="36"/>
        <v>2025</v>
      </c>
      <c r="B249" s="13" t="s">
        <v>13</v>
      </c>
      <c r="C249" s="78">
        <f>(Indeks!C251/Indeks!C$163*Indeks!C$160)/(Indeks!$H251/Indeks!$H$163)</f>
        <v>0.58727841751379928</v>
      </c>
      <c r="D249" s="78">
        <f>(Indeks!D251/Indeks!D$163*Indeks!D$160)/(Indeks!$H251/Indeks!$H$163)</f>
        <v>0.2423544467958309</v>
      </c>
      <c r="E249" s="78">
        <f>(Indeks!E251/Indeks!E$163*Indeks!E$160)/(Indeks!$H251/Indeks!$H$163)</f>
        <v>7.1096245812261677E-2</v>
      </c>
      <c r="F249" s="78">
        <f>(Indeks!F251/Indeks!F$163*Indeks!F$160)/(Indeks!$H251/Indeks!$H$163)</f>
        <v>7.6033989504178959E-2</v>
      </c>
      <c r="G249" s="78">
        <f>(Indeks!G251/Indeks!G$163*Indeks!G$160)/(Indeks!$H251/Indeks!$H$163)</f>
        <v>2.3236900373929153E-2</v>
      </c>
      <c r="H249" s="78">
        <f t="shared" si="35"/>
        <v>1</v>
      </c>
    </row>
    <row r="250" spans="1:8" x14ac:dyDescent="0.2">
      <c r="A250" s="17">
        <f t="shared" si="36"/>
        <v>2025</v>
      </c>
      <c r="B250" s="22" t="s">
        <v>30</v>
      </c>
      <c r="C250" s="79">
        <f>(Indeks!C252/Indeks!C$163*Indeks!C$160)/(Indeks!$H252/Indeks!$H$163)</f>
        <v>0.5895749098974078</v>
      </c>
      <c r="D250" s="79">
        <f>(Indeks!D252/Indeks!D$163*Indeks!D$160)/(Indeks!$H252/Indeks!$H$163)</f>
        <v>0.24096280195175351</v>
      </c>
      <c r="E250" s="79">
        <f>(Indeks!E252/Indeks!E$163*Indeks!E$160)/(Indeks!$H252/Indeks!$H$163)</f>
        <v>7.0758014963209354E-2</v>
      </c>
      <c r="F250" s="79">
        <f>(Indeks!F252/Indeks!F$163*Indeks!F$160)/(Indeks!$H252/Indeks!$H$163)</f>
        <v>7.5600803468780814E-2</v>
      </c>
      <c r="G250" s="79">
        <f>(Indeks!G252/Indeks!G$163*Indeks!G$160)/(Indeks!$H252/Indeks!$H$163)</f>
        <v>2.310346971884833E-2</v>
      </c>
      <c r="H250" s="79">
        <f t="shared" si="35"/>
        <v>0.99999999999999978</v>
      </c>
    </row>
    <row r="251" spans="1:8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0.58953157807463796</v>
      </c>
      <c r="D251" s="77">
        <f>(Indeks!D253/Indeks!D$163*Indeks!D$160)/(Indeks!$H253/Indeks!$H$163)</f>
        <v>0.24094509197588276</v>
      </c>
      <c r="E251" s="77">
        <f>(Indeks!E253/Indeks!E$163*Indeks!E$160)/(Indeks!$H253/Indeks!$H$163)</f>
        <v>7.0822895857258844E-2</v>
      </c>
      <c r="F251" s="77">
        <f>(Indeks!F253/Indeks!F$163*Indeks!F$160)/(Indeks!$H253/Indeks!$H$163)</f>
        <v>7.5598662402644373E-2</v>
      </c>
      <c r="G251" s="77">
        <f>(Indeks!G253/Indeks!G$163*Indeks!G$160)/(Indeks!$H253/Indeks!$H$163)</f>
        <v>2.3101771689576021E-2</v>
      </c>
      <c r="H251" s="77">
        <f t="shared" si="35"/>
        <v>1</v>
      </c>
    </row>
    <row r="252" spans="1:8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0.5894882116128517</v>
      </c>
      <c r="D252" s="78">
        <f>(Indeks!D254/Indeks!D$163*Indeks!D$160)/(Indeks!$H254/Indeks!$H$163)</f>
        <v>0.24092736784283819</v>
      </c>
      <c r="E252" s="78">
        <f>(Indeks!E254/Indeks!E$163*Indeks!E$160)/(Indeks!$H254/Indeks!$H$163)</f>
        <v>7.0887831694804018E-2</v>
      </c>
      <c r="F252" s="78">
        <f>(Indeks!F254/Indeks!F$163*Indeks!F$160)/(Indeks!$H254/Indeks!$H$163)</f>
        <v>7.559651654658979E-2</v>
      </c>
      <c r="G252" s="78">
        <f>(Indeks!G254/Indeks!G$163*Indeks!G$160)/(Indeks!$H254/Indeks!$H$163)</f>
        <v>2.3100072302916455E-2</v>
      </c>
      <c r="H252" s="78">
        <f t="shared" si="35"/>
        <v>1.0000000000000002</v>
      </c>
    </row>
    <row r="253" spans="1:8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0.59178085544313719</v>
      </c>
      <c r="D253" s="79">
        <f>(Indeks!D255/Indeks!D$163*Indeks!D$160)/(Indeks!$H255/Indeks!$H$163)</f>
        <v>0.23953886200890859</v>
      </c>
      <c r="E253" s="79">
        <f>(Indeks!E255/Indeks!E$163*Indeks!E$160)/(Indeks!$H255/Indeks!$H$163)</f>
        <v>7.0549103386122136E-2</v>
      </c>
      <c r="F253" s="79">
        <f>(Indeks!F255/Indeks!F$163*Indeks!F$160)/(Indeks!$H255/Indeks!$H$163)</f>
        <v>7.5164236546273133E-2</v>
      </c>
      <c r="G253" s="79">
        <f>(Indeks!G255/Indeks!G$163*Indeks!G$160)/(Indeks!$H255/Indeks!$H$163)</f>
        <v>2.2966942615558903E-2</v>
      </c>
      <c r="H253" s="79">
        <f t="shared" si="35"/>
        <v>1</v>
      </c>
    </row>
    <row r="254" spans="1:8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0.59173749559972844</v>
      </c>
      <c r="D254" s="77">
        <f>(Indeks!D256/Indeks!D$163*Indeks!D$160)/(Indeks!$H256/Indeks!$H$163)</f>
        <v>0.23952131097214979</v>
      </c>
      <c r="E254" s="77">
        <f>(Indeks!E256/Indeks!E$163*Indeks!E$160)/(Indeks!$H256/Indeks!$H$163)</f>
        <v>7.0613808724316482E-2</v>
      </c>
      <c r="F254" s="77">
        <f>(Indeks!F256/Indeks!F$163*Indeks!F$160)/(Indeks!$H256/Indeks!$H$163)</f>
        <v>7.5162124878465561E-2</v>
      </c>
      <c r="G254" s="77">
        <f>(Indeks!G256/Indeks!G$163*Indeks!G$160)/(Indeks!$H256/Indeks!$H$163)</f>
        <v>2.2965259825339805E-2</v>
      </c>
      <c r="H254" s="77">
        <f t="shared" si="35"/>
        <v>1</v>
      </c>
    </row>
    <row r="255" spans="1:8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0.5916941010700858</v>
      </c>
      <c r="D255" s="250">
        <f>(Indeks!D257/Indeks!D$163*Indeks!D$160)/(Indeks!$H257/Indeks!$H$163)</f>
        <v>0.23950374589522583</v>
      </c>
      <c r="E255" s="250">
        <f>(Indeks!E257/Indeks!E$163*Indeks!E$160)/(Indeks!$H257/Indeks!$H$163)</f>
        <v>7.0678568885331819E-2</v>
      </c>
      <c r="F255" s="250">
        <f>(Indeks!F257/Indeks!F$163*Indeks!F$160)/(Indeks!$H257/Indeks!$H$163)</f>
        <v>7.5160008460404354E-2</v>
      </c>
      <c r="G255" s="250">
        <f>(Indeks!G257/Indeks!G$163*Indeks!G$160)/(Indeks!$H257/Indeks!$H$163)</f>
        <v>2.2963575688952215E-2</v>
      </c>
      <c r="H255" s="250">
        <f t="shared" si="35"/>
        <v>1</v>
      </c>
    </row>
    <row r="256" spans="1:8" x14ac:dyDescent="0.2">
      <c r="A256" s="2">
        <v>2026</v>
      </c>
      <c r="B256" t="s">
        <v>8</v>
      </c>
      <c r="C256" s="77">
        <f>(Indeks!C258/Indeks!C$163*Indeks!C$160)/(Indeks!$H258/Indeks!$H$163)</f>
        <v>0.59381210426815023</v>
      </c>
      <c r="D256" s="77">
        <f>(Indeks!D258/Indeks!D$163*Indeks!D$160)/(Indeks!$H258/Indeks!$H$163)</f>
        <v>0.23821873642591135</v>
      </c>
      <c r="E256" s="77">
        <f>(Indeks!E258/Indeks!E$163*Indeks!E$160)/(Indeks!$H258/Indeks!$H$163)</f>
        <v>7.034837899604772E-2</v>
      </c>
      <c r="F256" s="77">
        <f>(Indeks!F258/Indeks!F$163*Indeks!F$160)/(Indeks!$H258/Indeks!$H$163)</f>
        <v>7.4780411095640278E-2</v>
      </c>
      <c r="G256" s="77">
        <f>(Indeks!G258/Indeks!G$163*Indeks!G$160)/(Indeks!$H258/Indeks!$H$163)</f>
        <v>2.2840369214250429E-2</v>
      </c>
      <c r="H256" s="77">
        <f t="shared" ref="H256:H267" si="37">SUM(C256:G256)</f>
        <v>1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0.59376892411549576</v>
      </c>
      <c r="D257" s="77">
        <f>(Indeks!D259/Indeks!D$163*Indeks!D$160)/(Indeks!$H259/Indeks!$H$163)</f>
        <v>0.23820141390700325</v>
      </c>
      <c r="E257" s="77">
        <f>(Indeks!E259/Indeks!E$163*Indeks!E$160)/(Indeks!$H259/Indeks!$H$163)</f>
        <v>7.0392315942588074E-2</v>
      </c>
      <c r="F257" s="77">
        <f>(Indeks!F259/Indeks!F$163*Indeks!F$160)/(Indeks!$H259/Indeks!$H$163)</f>
        <v>7.479863770063154E-2</v>
      </c>
      <c r="G257" s="77">
        <f>(Indeks!G259/Indeks!G$163*Indeks!G$160)/(Indeks!$H259/Indeks!$H$163)</f>
        <v>2.283870833428138E-2</v>
      </c>
      <c r="H257" s="77">
        <f t="shared" si="37"/>
        <v>1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0.59372572548867919</v>
      </c>
      <c r="D258" s="78">
        <f>(Indeks!D260/Indeks!D$163*Indeks!D$160)/(Indeks!$H260/Indeks!$H$163)</f>
        <v>0.23818408397684249</v>
      </c>
      <c r="E258" s="78">
        <f>(Indeks!E260/Indeks!E$163*Indeks!E$160)/(Indeks!$H260/Indeks!$H$163)</f>
        <v>7.0436277766315919E-2</v>
      </c>
      <c r="F258" s="78">
        <f>(Indeks!F260/Indeks!F$163*Indeks!F$160)/(Indeks!$H260/Indeks!$H$163)</f>
        <v>7.4816866024439488E-2</v>
      </c>
      <c r="G258" s="78">
        <f>(Indeks!G260/Indeks!G$163*Indeks!G$160)/(Indeks!$H260/Indeks!$H$163)</f>
        <v>2.2837046743722774E-2</v>
      </c>
      <c r="H258" s="78">
        <f t="shared" si="37"/>
        <v>0.99999999999999989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0.59584033753040788</v>
      </c>
      <c r="D259" s="79">
        <f>(Indeks!D261/Indeks!D$163*Indeks!D$160)/(Indeks!$H261/Indeks!$H$163)</f>
        <v>0.23690191516799478</v>
      </c>
      <c r="E259" s="79">
        <f>(Indeks!E261/Indeks!E$163*Indeks!E$160)/(Indeks!$H261/Indeks!$H$163)</f>
        <v>7.0105965137896839E-2</v>
      </c>
      <c r="F259" s="79">
        <f>(Indeks!F261/Indeks!F$163*Indeks!F$160)/(Indeks!$H261/Indeks!$H$163)</f>
        <v>7.4437669532669448E-2</v>
      </c>
      <c r="G259" s="79">
        <f>(Indeks!G261/Indeks!G$163*Indeks!G$160)/(Indeks!$H261/Indeks!$H$163)</f>
        <v>2.2714112631030989E-2</v>
      </c>
      <c r="H259" s="79">
        <f t="shared" si="37"/>
        <v>0.99999999999999989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0.59579717521955733</v>
      </c>
      <c r="D260" s="77">
        <f>(Indeks!D262/Indeks!D$163*Indeks!D$160)/(Indeks!$H262/Indeks!$H$163)</f>
        <v>0.2368847541376658</v>
      </c>
      <c r="E260" s="77">
        <f>(Indeks!E262/Indeks!E$163*Indeks!E$160)/(Indeks!$H262/Indeks!$H$163)</f>
        <v>7.014977014783072E-2</v>
      </c>
      <c r="F260" s="77">
        <f>(Indeks!F262/Indeks!F$163*Indeks!F$160)/(Indeks!$H262/Indeks!$H$163)</f>
        <v>7.4455833260388599E-2</v>
      </c>
      <c r="G260" s="77">
        <f>(Indeks!G262/Indeks!G$163*Indeks!G$160)/(Indeks!$H262/Indeks!$H$163)</f>
        <v>2.2712467234557596E-2</v>
      </c>
      <c r="H260" s="77">
        <f t="shared" si="37"/>
        <v>1.0000000000000002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0.59575399441408905</v>
      </c>
      <c r="D261" s="78">
        <f>(Indeks!D263/Indeks!D$163*Indeks!D$160)/(Indeks!$H263/Indeks!$H$163)</f>
        <v>0.23686758575400729</v>
      </c>
      <c r="E261" s="78">
        <f>(Indeks!E263/Indeks!E$163*Indeks!E$160)/(Indeks!$H263/Indeks!$H$163)</f>
        <v>7.0193599981400623E-2</v>
      </c>
      <c r="F261" s="78">
        <f>(Indeks!F263/Indeks!F$163*Indeks!F$160)/(Indeks!$H263/Indeks!$H$163)</f>
        <v>7.447399871745479E-2</v>
      </c>
      <c r="G261" s="78">
        <f>(Indeks!G263/Indeks!G$163*Indeks!G$160)/(Indeks!$H263/Indeks!$H$163)</f>
        <v>2.2710821133048308E-2</v>
      </c>
      <c r="H261" s="78">
        <f t="shared" si="37"/>
        <v>1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0.59786514886724651</v>
      </c>
      <c r="D262" s="79">
        <f>(Indeks!D264/Indeks!D$163*Indeks!D$160)/(Indeks!$H264/Indeks!$H$163)</f>
        <v>0.23558829476376117</v>
      </c>
      <c r="E262" s="79">
        <f>(Indeks!E264/Indeks!E$163*Indeks!E$160)/(Indeks!$H264/Indeks!$H$163)</f>
        <v>6.9863177219947559E-2</v>
      </c>
      <c r="F262" s="79">
        <f>(Indeks!F264/Indeks!F$163*Indeks!F$160)/(Indeks!$H264/Indeks!$H$163)</f>
        <v>7.4095216203963199E-2</v>
      </c>
      <c r="G262" s="79">
        <f>(Indeks!G264/Indeks!G$163*Indeks!G$160)/(Indeks!$H264/Indeks!$H$163)</f>
        <v>2.2588162945081747E-2</v>
      </c>
      <c r="H262" s="79">
        <f t="shared" si="37"/>
        <v>1.0000000000000002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0.59782200587217493</v>
      </c>
      <c r="D263" s="77">
        <f>(Indeks!D265/Indeks!D$163*Indeks!D$160)/(Indeks!$H265/Indeks!$H$163)</f>
        <v>0.23557129430026341</v>
      </c>
      <c r="E263" s="77">
        <f>(Indeks!E265/Indeks!E$163*Indeks!E$160)/(Indeks!$H265/Indeks!$H$163)</f>
        <v>6.9906849936691828E-2</v>
      </c>
      <c r="F263" s="77">
        <f>(Indeks!F265/Indeks!F$163*Indeks!F$160)/(Indeks!$H265/Indeks!$H$163)</f>
        <v>7.4113316947142863E-2</v>
      </c>
      <c r="G263" s="77">
        <f>(Indeks!G265/Indeks!G$163*Indeks!G$160)/(Indeks!$H265/Indeks!$H$163)</f>
        <v>2.2586532943726992E-2</v>
      </c>
      <c r="H263" s="77">
        <f t="shared" si="37"/>
        <v>1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0.59777884436267292</v>
      </c>
      <c r="D264" s="78">
        <f>(Indeks!D266/Indeks!D$163*Indeks!D$160)/(Indeks!$H266/Indeks!$H$163)</f>
        <v>0.23555428654116878</v>
      </c>
      <c r="E264" s="78">
        <f>(Indeks!E266/Indeks!E$163*Indeks!E$160)/(Indeks!$H266/Indeks!$H$163)</f>
        <v>6.9950547423210885E-2</v>
      </c>
      <c r="F264" s="78">
        <f>(Indeks!F266/Indeks!F$163*Indeks!F$160)/(Indeks!$H266/Indeks!$H$163)</f>
        <v>7.4131419430075715E-2</v>
      </c>
      <c r="G264" s="78">
        <f>(Indeks!G266/Indeks!G$163*Indeks!G$160)/(Indeks!$H266/Indeks!$H$163)</f>
        <v>2.2584902242871734E-2</v>
      </c>
      <c r="H264" s="78">
        <f t="shared" si="37"/>
        <v>1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0.59988647527125705</v>
      </c>
      <c r="D265" s="79">
        <f>(Indeks!D267/Indeks!D$163*Indeks!D$160)/(Indeks!$H267/Indeks!$H$163)</f>
        <v>0.23427791017590388</v>
      </c>
      <c r="E265" s="79">
        <f>(Indeks!E267/Indeks!E$163*Indeks!E$160)/(Indeks!$H267/Indeks!$H$163)</f>
        <v>6.962002711536229E-2</v>
      </c>
      <c r="F265" s="79">
        <f>(Indeks!F267/Indeks!F$163*Indeks!F$160)/(Indeks!$H267/Indeks!$H$163)</f>
        <v>7.3753063928857415E-2</v>
      </c>
      <c r="G265" s="79">
        <f>(Indeks!G267/Indeks!G$163*Indeks!G$160)/(Indeks!$H267/Indeks!$H$163)</f>
        <v>2.2462523508619402E-2</v>
      </c>
      <c r="H265" s="79">
        <f t="shared" si="37"/>
        <v>1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0.59984335306125092</v>
      </c>
      <c r="D266" s="77">
        <f>(Indeks!D268/Indeks!D$163*Indeks!D$160)/(Indeks!$H268/Indeks!$H$163)</f>
        <v>0.2342610693540837</v>
      </c>
      <c r="E266" s="77">
        <f>(Indeks!E268/Indeks!E$163*Indeks!E$160)/(Indeks!$H268/Indeks!$H$163)</f>
        <v>6.966356718846442E-2</v>
      </c>
      <c r="F266" s="77">
        <f>(Indeks!F268/Indeks!F$163*Indeks!F$160)/(Indeks!$H268/Indeks!$H$163)</f>
        <v>7.3771101582521162E-2</v>
      </c>
      <c r="G266" s="77">
        <f>(Indeks!G268/Indeks!G$163*Indeks!G$160)/(Indeks!$H268/Indeks!$H$163)</f>
        <v>2.2460908813679716E-2</v>
      </c>
      <c r="H266" s="77">
        <f t="shared" si="37"/>
        <v>1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0.59980021231764613</v>
      </c>
      <c r="D267" s="318">
        <f>(Indeks!D269/Indeks!D$163*Indeks!D$160)/(Indeks!$H269/Indeks!$H$163)</f>
        <v>0.23424422129420602</v>
      </c>
      <c r="E267" s="318">
        <f>(Indeks!E269/Indeks!E$163*Indeks!E$160)/(Indeks!$H269/Indeks!$H$163)</f>
        <v>6.9707131977172196E-2</v>
      </c>
      <c r="F267" s="318">
        <f>(Indeks!F269/Indeks!F$163*Indeks!F$160)/(Indeks!$H269/Indeks!$H$163)</f>
        <v>7.3789140986219234E-2</v>
      </c>
      <c r="G267" s="318">
        <f>(Indeks!G269/Indeks!G$163*Indeks!G$160)/(Indeks!$H269/Indeks!$H$163)</f>
        <v>2.2459293424756398E-2</v>
      </c>
      <c r="H267" s="318">
        <f t="shared" si="37"/>
        <v>1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zoomScaleNormal="100" workbookViewId="0">
      <selection activeCell="J250" sqref="J250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151.98251313199358</v>
      </c>
      <c r="D240" s="259">
        <f t="shared" si="32"/>
        <v>-4.9263975247822063E-3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150.01147572882357</v>
      </c>
      <c r="D241" s="269">
        <f t="shared" si="32"/>
        <v>-1.296884333961639E-2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150.98701829695824</v>
      </c>
      <c r="D242" s="288">
        <f t="shared" si="32"/>
        <v>6.5031196006508432E-3</v>
      </c>
      <c r="E242" s="288">
        <f>(SUM(C240:C242)-SUM(C237:C239))/SUM(C237:C239)</f>
        <v>-7.9542837051560459E-3</v>
      </c>
      <c r="F242" s="288">
        <f>(SUM(C237:C242)-SUM(C231:C236))/SUM(C231:C236)</f>
        <v>-3.9485175249676034E-2</v>
      </c>
      <c r="G242" s="288">
        <f>(SUM(C231:C242)-SUM(C219:C230))/SUM(C219:C230)</f>
        <v>-5.566827407861482E-2</v>
      </c>
      <c r="H242" s="287">
        <f>(C231+C232+C233+C234+C235+C236+C237+C238+C239+C240+C241+C242)/12</f>
        <v>154.71499950901912</v>
      </c>
    </row>
    <row r="243" spans="1:8" x14ac:dyDescent="0.2">
      <c r="A243" s="2">
        <v>2025</v>
      </c>
      <c r="B243" t="s">
        <v>8</v>
      </c>
      <c r="C243" s="254">
        <f>Indeks!H246</f>
        <v>152.05711992493821</v>
      </c>
      <c r="D243" s="255">
        <f t="shared" ref="D243:D254" si="34">(C243-C242)/C242</f>
        <v>7.087375060783779E-3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258">
        <f>Indeks!H247</f>
        <v>151.74548178547241</v>
      </c>
      <c r="D244" s="259">
        <f t="shared" si="34"/>
        <v>-2.0494807452596559E-3</v>
      </c>
      <c r="E244" s="259"/>
      <c r="F244" s="259"/>
      <c r="G244" s="259"/>
      <c r="H244" s="258"/>
    </row>
    <row r="245" spans="1:8" x14ac:dyDescent="0.2">
      <c r="A245" s="12">
        <f t="shared" ref="A245:A254" si="35">A244</f>
        <v>2025</v>
      </c>
      <c r="B245" s="13" t="s">
        <v>10</v>
      </c>
      <c r="C245" s="157">
        <f>Indeks!H248</f>
        <v>151.75671361264861</v>
      </c>
      <c r="D245" s="159">
        <f t="shared" si="34"/>
        <v>7.4017539395883488E-5</v>
      </c>
      <c r="E245" s="159">
        <f>(SUM(C243:C245)-SUM(C240:C242))/SUM(C240:C242)</f>
        <v>5.6918681457781136E-3</v>
      </c>
      <c r="F245" s="159"/>
      <c r="G245" s="159"/>
      <c r="H245" s="159"/>
    </row>
    <row r="246" spans="1:8" x14ac:dyDescent="0.2">
      <c r="A246" s="17">
        <f t="shared" si="35"/>
        <v>2025</v>
      </c>
      <c r="B246" s="18" t="s">
        <v>11</v>
      </c>
      <c r="C246" s="158">
        <f>Indeks!H249</f>
        <v>152.62993482681284</v>
      </c>
      <c r="D246" s="160">
        <f t="shared" si="34"/>
        <v>5.7540862171876327E-3</v>
      </c>
      <c r="E246" s="160"/>
      <c r="F246" s="160"/>
      <c r="G246" s="160"/>
      <c r="H246" s="133"/>
    </row>
    <row r="247" spans="1:8" x14ac:dyDescent="0.2">
      <c r="A247" s="10">
        <f t="shared" si="35"/>
        <v>2025</v>
      </c>
      <c r="B247" t="s">
        <v>12</v>
      </c>
      <c r="C247" s="156">
        <f>Indeks!H250</f>
        <v>152.64118792371295</v>
      </c>
      <c r="D247" s="133">
        <f t="shared" si="34"/>
        <v>7.3727980771756297E-5</v>
      </c>
      <c r="E247" s="133"/>
      <c r="F247" s="133"/>
      <c r="G247" s="133"/>
      <c r="H247" s="133"/>
    </row>
    <row r="248" spans="1:8" x14ac:dyDescent="0.2">
      <c r="A248" s="12">
        <f t="shared" si="35"/>
        <v>2025</v>
      </c>
      <c r="B248" s="13" t="s">
        <v>13</v>
      </c>
      <c r="C248" s="157">
        <f>Indeks!H251</f>
        <v>152.65245167124499</v>
      </c>
      <c r="D248" s="159">
        <f t="shared" si="34"/>
        <v>7.3792320966937044E-5</v>
      </c>
      <c r="E248" s="159">
        <f>(SUM(C246:C248)-SUM(C243:C245))/SUM(C243:C245)</f>
        <v>5.1897942138116587E-3</v>
      </c>
      <c r="F248" s="159">
        <f>(SUM(C243:C248)-SUM(C237:C242))/SUM(C237:C242)</f>
        <v>4.2753641769991317E-3</v>
      </c>
      <c r="G248" s="159"/>
      <c r="H248" s="159"/>
    </row>
    <row r="249" spans="1:8" x14ac:dyDescent="0.2">
      <c r="A249" s="17">
        <f t="shared" si="35"/>
        <v>2025</v>
      </c>
      <c r="B249" s="22" t="s">
        <v>30</v>
      </c>
      <c r="C249" s="158">
        <f>Indeks!H252</f>
        <v>153.53407321441827</v>
      </c>
      <c r="D249" s="160">
        <f t="shared" si="34"/>
        <v>5.7753513521810783E-3</v>
      </c>
      <c r="E249" s="160"/>
      <c r="F249" s="160"/>
      <c r="G249" s="160"/>
      <c r="H249" s="133"/>
    </row>
    <row r="250" spans="1:8" x14ac:dyDescent="0.2">
      <c r="A250" s="10">
        <f t="shared" si="35"/>
        <v>2025</v>
      </c>
      <c r="B250" t="s">
        <v>14</v>
      </c>
      <c r="C250" s="156">
        <f>Indeks!H253</f>
        <v>153.54535829480594</v>
      </c>
      <c r="D250" s="133">
        <f t="shared" si="34"/>
        <v>7.3502123348901218E-5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153.55665405743832</v>
      </c>
      <c r="D251" s="159">
        <f t="shared" si="34"/>
        <v>7.3566291796971195E-5</v>
      </c>
      <c r="E251" s="159">
        <f>(SUM(C249:C251)-SUM(C246:C248))/SUM(C246:C248)</f>
        <v>5.9235018601452496E-3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154.44675726745331</v>
      </c>
      <c r="D252" s="133">
        <f t="shared" si="34"/>
        <v>5.7965785688586253E-3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154.45807442626091</v>
      </c>
      <c r="D253" s="133">
        <f t="shared" si="34"/>
        <v>7.3275470510541138E-5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154.46940229901998</v>
      </c>
      <c r="D254" s="250">
        <f t="shared" si="34"/>
        <v>7.3339466396599412E-5</v>
      </c>
      <c r="E254" s="251">
        <f>(SUM(C252:C254)-SUM(C249:C251))/SUM(C249:C251)</f>
        <v>5.9442768638137264E-3</v>
      </c>
      <c r="F254" s="251">
        <f>(SUM(C249:C254)-SUM(C243:C248))/SUM(C243:C248)</f>
        <v>1.1524495896696615E-2</v>
      </c>
      <c r="G254" s="251">
        <f>(SUM(C243:C254)-SUM(C231:C242))/SUM(C231:C242)</f>
        <v>-1.0280615359733474E-2</v>
      </c>
      <c r="H254" s="252">
        <f>(C243+C244+C245+C246+C247+C248+C249+C250+C251+C252+C253+C254)/12</f>
        <v>153.12443410868553</v>
      </c>
    </row>
    <row r="255" spans="1:8" x14ac:dyDescent="0.2">
      <c r="A255" s="2">
        <v>2026</v>
      </c>
      <c r="B255" t="s">
        <v>8</v>
      </c>
      <c r="C255" s="156">
        <f>Indeks!H258</f>
        <v>155.30264760814924</v>
      </c>
      <c r="D255" s="133">
        <f t="shared" ref="D255:D266" si="36">(C255-C254)/C254</f>
        <v>5.3942418157110605E-3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155.31394155055514</v>
      </c>
      <c r="D256" s="133">
        <f t="shared" si="36"/>
        <v>7.27221498141844E-5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155.32524196876579</v>
      </c>
      <c r="D257" s="159">
        <f t="shared" si="36"/>
        <v>7.2758556623031016E-5</v>
      </c>
      <c r="E257" s="159">
        <f>(SUM(C255:C257)-SUM(C252:C254))/SUM(C252:C254)</f>
        <v>5.5410874113822825E-3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156.16589866137991</v>
      </c>
      <c r="D258" s="160">
        <f t="shared" si="36"/>
        <v>5.412234881843384E-3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156.17721204342106</v>
      </c>
      <c r="D259" s="133">
        <f t="shared" si="36"/>
        <v>7.2444638286129056E-5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156.18853191349336</v>
      </c>
      <c r="D260" s="159">
        <f t="shared" si="36"/>
        <v>7.2480933192428575E-5</v>
      </c>
      <c r="E260" s="159">
        <f>(SUM(C258:C260)-SUM(C255:C257))/SUM(C255:C257)</f>
        <v>5.5582291990341863E-3</v>
      </c>
      <c r="F260" s="159">
        <f>(SUM(C255:C260)-SUM(C249:C254))/SUM(C249:C254)</f>
        <v>1.1323633475605558E-2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157.03666650293493</v>
      </c>
      <c r="D261" s="160">
        <f t="shared" si="36"/>
        <v>5.4301975890990459E-3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157.04799936131491</v>
      </c>
      <c r="D262" s="133">
        <f t="shared" si="36"/>
        <v>7.2166957133931343E-5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157.05933871997678</v>
      </c>
      <c r="D263" s="159">
        <f t="shared" si="36"/>
        <v>7.2203139855244071E-5</v>
      </c>
      <c r="E263" s="159">
        <f>(SUM(C261:C263)-SUM(C258:C260))/SUM(C258:C260)</f>
        <v>5.5756361541209176E-3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157.91501831749321</v>
      </c>
      <c r="D264" s="133">
        <f t="shared" si="36"/>
        <v>5.4481293789351197E-3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157.92637068898864</v>
      </c>
      <c r="D265" s="133">
        <f t="shared" si="36"/>
        <v>7.1889118694269422E-5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157.93772957304105</v>
      </c>
      <c r="D266" s="250">
        <f t="shared" si="36"/>
        <v>7.1925188952658085E-5</v>
      </c>
      <c r="E266" s="251">
        <f>(SUM(C264:C266)-SUM(C261:C263))/SUM(C261:C263)</f>
        <v>5.5930118385391185E-3</v>
      </c>
      <c r="F266" s="251">
        <f>(SUM(C261:C266)-SUM(C255:C260))/SUM(C255:C260)</f>
        <v>1.1182392771512732E-2</v>
      </c>
      <c r="G266" s="251">
        <f>(SUM(C255:C266)-SUM(C243:C254))/SUM(C243:C254)</f>
        <v>2.2804648960392245E-2</v>
      </c>
      <c r="H266" s="252">
        <f>(C255+C256+C257+C258+C259+C260+C261+C262+C263+C264+C265+C266)/12</f>
        <v>156.61638307579281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zoomScaleNormal="100" workbookViewId="0">
      <selection activeCell="K272" sqref="K272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105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75.75" x14ac:dyDescent="0.2">
      <c r="A5" s="112" t="s">
        <v>3</v>
      </c>
      <c r="B5" s="141" t="s">
        <v>68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76</v>
      </c>
      <c r="B6" s="324" t="s">
        <v>104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24"/>
      <c r="D7" s="6"/>
      <c r="E7" s="61"/>
      <c r="F7" s="61"/>
    </row>
    <row r="8" spans="1:6" ht="66" customHeight="1" x14ac:dyDescent="0.2">
      <c r="A8" s="112"/>
      <c r="B8" s="216" t="s">
        <v>110</v>
      </c>
      <c r="D8" s="6"/>
      <c r="E8" s="61"/>
      <c r="F8" s="61"/>
    </row>
    <row r="9" spans="1:6" ht="66" customHeight="1" x14ac:dyDescent="0.2">
      <c r="A9" s="112"/>
      <c r="B9" s="325" t="s">
        <v>111</v>
      </c>
      <c r="C9" s="325"/>
      <c r="D9" s="325"/>
      <c r="E9" s="325"/>
      <c r="F9" s="61"/>
    </row>
    <row r="10" spans="1:6" ht="25.5" x14ac:dyDescent="0.2">
      <c r="A10" s="112" t="s">
        <v>5</v>
      </c>
      <c r="B10" s="141" t="s">
        <v>72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73</v>
      </c>
      <c r="D11" s="6"/>
      <c r="E11" s="61"/>
      <c r="F11" s="61"/>
    </row>
    <row r="12" spans="1:6" ht="102" x14ac:dyDescent="0.2">
      <c r="A12" s="112" t="s">
        <v>6</v>
      </c>
      <c r="B12" s="141" t="s">
        <v>117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123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122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view="pageBreakPreview" topLeftCell="A106" zoomScale="118" zoomScaleNormal="100" zoomScaleSheetLayoutView="118" workbookViewId="0">
      <selection activeCell="B130" sqref="B130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28" t="s">
        <v>106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ht="13.5" thickBot="1" x14ac:dyDescent="0.25">
      <c r="A2" s="330"/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</row>
    <row r="3" spans="1:14" x14ac:dyDescent="0.2">
      <c r="A3" s="200" t="s">
        <v>103</v>
      </c>
      <c r="B3" s="48"/>
      <c r="C3" s="49"/>
      <c r="D3" s="49"/>
      <c r="E3" s="49"/>
      <c r="F3" s="49"/>
      <c r="G3" s="142" t="s">
        <v>79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80</v>
      </c>
      <c r="G4" s="191" t="s">
        <v>113</v>
      </c>
      <c r="N4" s="192"/>
    </row>
    <row r="5" spans="1:14" x14ac:dyDescent="0.2">
      <c r="A5" s="208" t="s">
        <v>81</v>
      </c>
      <c r="B5" s="207" t="s">
        <v>4</v>
      </c>
      <c r="C5" s="207" t="s">
        <v>76</v>
      </c>
      <c r="D5" s="207" t="s">
        <v>82</v>
      </c>
      <c r="G5" s="227" t="s">
        <v>83</v>
      </c>
      <c r="H5" s="225" t="s">
        <v>3</v>
      </c>
      <c r="I5" s="225" t="s">
        <v>4</v>
      </c>
      <c r="J5" s="211" t="s">
        <v>84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85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86</v>
      </c>
      <c r="B7" s="21">
        <f>B6*0.25</f>
        <v>0.92249999999999999</v>
      </c>
      <c r="C7" s="21">
        <f>C6*0.25</f>
        <v>2.0499999999999998</v>
      </c>
      <c r="G7" s="180" t="s">
        <v>87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88</v>
      </c>
      <c r="B8">
        <v>2.7109999999999999</v>
      </c>
      <c r="C8" s="21">
        <f>C17*C18</f>
        <v>2.594592</v>
      </c>
      <c r="G8" s="180" t="s">
        <v>89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90</v>
      </c>
      <c r="B9">
        <v>0.43</v>
      </c>
      <c r="G9" s="182" t="s">
        <v>91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92</v>
      </c>
      <c r="B10">
        <v>8.9999999999999993E-3</v>
      </c>
      <c r="G10" s="228" t="s">
        <v>93</v>
      </c>
      <c r="H10" s="225" t="s">
        <v>3</v>
      </c>
      <c r="I10" s="225" t="s">
        <v>76</v>
      </c>
      <c r="J10" s="211" t="s">
        <v>84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94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95</v>
      </c>
      <c r="B12">
        <v>1</v>
      </c>
      <c r="C12" s="21">
        <v>0.96</v>
      </c>
      <c r="G12" s="180" t="s">
        <v>87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96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89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98</v>
      </c>
      <c r="C14" s="21">
        <f>C13-B13</f>
        <v>5.6172833333333347</v>
      </c>
      <c r="G14" s="182" t="s">
        <v>91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99</v>
      </c>
      <c r="C15" s="21"/>
      <c r="N15" s="192"/>
    </row>
    <row r="16" spans="1:14" ht="13.15" customHeight="1" x14ac:dyDescent="0.2">
      <c r="A16" s="193" t="s">
        <v>100</v>
      </c>
      <c r="C16" s="21"/>
      <c r="G16" s="329" t="s">
        <v>97</v>
      </c>
      <c r="H16" s="329"/>
      <c r="I16" s="329"/>
      <c r="J16" s="329"/>
      <c r="K16" s="329"/>
      <c r="L16" s="329"/>
      <c r="M16" s="329"/>
      <c r="N16" s="192"/>
    </row>
    <row r="17" spans="1:16" x14ac:dyDescent="0.2">
      <c r="A17" s="193" t="s">
        <v>101</v>
      </c>
      <c r="C17">
        <v>34.32</v>
      </c>
      <c r="G17" s="329"/>
      <c r="H17" s="329"/>
      <c r="I17" s="329"/>
      <c r="J17" s="329"/>
      <c r="K17" s="329"/>
      <c r="L17" s="329"/>
      <c r="M17" s="329"/>
      <c r="N17" s="192"/>
    </row>
    <row r="18" spans="1:16" ht="13.5" thickBot="1" x14ac:dyDescent="0.25">
      <c r="A18" s="196" t="s">
        <v>102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26" t="s">
        <v>75</v>
      </c>
      <c r="C21" s="326" t="s">
        <v>78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27"/>
      <c r="C22" s="327"/>
      <c r="D22" s="224"/>
      <c r="E22" s="224"/>
      <c r="F22" s="224"/>
      <c r="G22" s="222" t="s">
        <v>112</v>
      </c>
      <c r="H22" s="223" t="s">
        <v>109</v>
      </c>
    </row>
    <row r="23" spans="1:16" hidden="1" x14ac:dyDescent="0.2">
      <c r="A23" s="237" t="s">
        <v>107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108</v>
      </c>
      <c r="B24">
        <v>121.4</v>
      </c>
      <c r="C24" s="171" t="s">
        <v>77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26" t="s">
        <v>75</v>
      </c>
      <c r="C36" s="326" t="s">
        <v>78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27"/>
      <c r="C37" s="327"/>
      <c r="D37" s="224"/>
      <c r="E37" s="224"/>
      <c r="F37" s="224"/>
      <c r="G37" s="222" t="s">
        <v>112</v>
      </c>
      <c r="H37" s="223" t="s">
        <v>109</v>
      </c>
    </row>
    <row r="38" spans="1:8" hidden="1" x14ac:dyDescent="0.2">
      <c r="A38" s="237" t="s">
        <v>107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108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118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119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26" t="s">
        <v>75</v>
      </c>
      <c r="C51" s="326" t="s">
        <v>78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27"/>
      <c r="C52" s="327"/>
      <c r="D52" s="224"/>
      <c r="E52" s="224"/>
      <c r="F52" s="224"/>
      <c r="G52" s="222" t="s">
        <v>112</v>
      </c>
      <c r="H52" s="223" t="s">
        <v>109</v>
      </c>
    </row>
    <row r="53" spans="1:13" hidden="1" x14ac:dyDescent="0.2">
      <c r="A53" s="237" t="s">
        <v>107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108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120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26" t="s">
        <v>75</v>
      </c>
      <c r="C66" s="326" t="s">
        <v>78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27"/>
      <c r="C67" s="327"/>
      <c r="D67" s="224"/>
      <c r="E67" s="224"/>
      <c r="F67" s="224"/>
      <c r="G67" s="222" t="s">
        <v>112</v>
      </c>
      <c r="H67" s="223" t="s">
        <v>109</v>
      </c>
    </row>
    <row r="68" spans="1:14" hidden="1" x14ac:dyDescent="0.2">
      <c r="A68" s="237" t="s">
        <v>107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108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121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26" t="s">
        <v>75</v>
      </c>
      <c r="C81" s="326" t="s">
        <v>78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27"/>
      <c r="C82" s="327"/>
      <c r="D82" s="224"/>
      <c r="E82" s="224"/>
      <c r="F82" s="224"/>
      <c r="G82" s="222" t="s">
        <v>112</v>
      </c>
      <c r="H82" s="223" t="s">
        <v>109</v>
      </c>
    </row>
    <row r="83" spans="1:8" x14ac:dyDescent="0.2">
      <c r="A83" s="237" t="s">
        <v>107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108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26" t="s">
        <v>75</v>
      </c>
      <c r="C96" s="326" t="s">
        <v>78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27"/>
      <c r="C97" s="327"/>
      <c r="D97" s="224"/>
      <c r="E97" s="224"/>
      <c r="F97" s="224"/>
      <c r="G97" s="222" t="s">
        <v>112</v>
      </c>
      <c r="H97" s="223" t="s">
        <v>109</v>
      </c>
    </row>
    <row r="98" spans="1:8" x14ac:dyDescent="0.2">
      <c r="A98" s="237" t="s">
        <v>107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108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26" t="s">
        <v>75</v>
      </c>
      <c r="C111" s="326" t="s">
        <v>78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27"/>
      <c r="C112" s="327"/>
      <c r="D112" s="224"/>
      <c r="E112" s="224"/>
      <c r="F112" s="224"/>
      <c r="G112" s="222" t="s">
        <v>112</v>
      </c>
      <c r="H112" s="223" t="s">
        <v>109</v>
      </c>
    </row>
    <row r="113" spans="1:8" x14ac:dyDescent="0.2">
      <c r="A113" s="237" t="s">
        <v>107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108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26" t="s">
        <v>75</v>
      </c>
      <c r="C126" s="326" t="s">
        <v>78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27"/>
      <c r="C127" s="327"/>
      <c r="D127" s="224"/>
      <c r="E127" s="224"/>
      <c r="F127" s="224"/>
      <c r="G127" s="222" t="s">
        <v>112</v>
      </c>
      <c r="H127" s="223" t="s">
        <v>109</v>
      </c>
    </row>
    <row r="128" spans="1:8" x14ac:dyDescent="0.2">
      <c r="A128" s="237" t="s">
        <v>107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108</v>
      </c>
      <c r="B129" s="11">
        <v>173.7</v>
      </c>
      <c r="C129" s="174">
        <f>+((B129/$B$24)*Indeks!$D$163)*(H129/$H$24)</f>
        <v>310.7664040052199</v>
      </c>
      <c r="D129" s="171"/>
      <c r="E129" s="171"/>
      <c r="G129" s="238">
        <v>45611</v>
      </c>
      <c r="H129" s="239">
        <v>64.349999999999994</v>
      </c>
    </row>
    <row r="130" spans="1:8" x14ac:dyDescent="0.2">
      <c r="A130" s="237" t="s">
        <v>10</v>
      </c>
      <c r="B130" s="11"/>
      <c r="C130" s="174">
        <f>+((B130/$B$24)*Indeks!$D$163)*(H130/$H$24)</f>
        <v>0</v>
      </c>
      <c r="G130" s="238"/>
      <c r="H130" s="239"/>
    </row>
    <row r="131" spans="1:8" x14ac:dyDescent="0.2">
      <c r="A131" s="240" t="s">
        <v>11</v>
      </c>
      <c r="B131" s="11"/>
      <c r="C131" s="174">
        <f>+((B131/$B$24)*Indeks!$D$163)*(H131/$H$24)</f>
        <v>0</v>
      </c>
      <c r="G131" s="238"/>
      <c r="H131" s="239"/>
    </row>
    <row r="132" spans="1:8" x14ac:dyDescent="0.2">
      <c r="A132" s="237" t="s">
        <v>12</v>
      </c>
      <c r="B132" s="11"/>
      <c r="C132" s="174">
        <f>+((B132/$B$24)*Indeks!$D$163)*(H132/$H$24)</f>
        <v>0</v>
      </c>
      <c r="G132" s="238"/>
      <c r="H132" s="248"/>
    </row>
    <row r="133" spans="1:8" x14ac:dyDescent="0.2">
      <c r="A133" s="240" t="s">
        <v>13</v>
      </c>
      <c r="B133" s="11"/>
      <c r="C133" s="174">
        <f>+((B133/$B$24)*Indeks!$D$163)*(H133/$H$24)</f>
        <v>0</v>
      </c>
      <c r="G133" s="238"/>
      <c r="H133" s="248"/>
    </row>
    <row r="134" spans="1:8" x14ac:dyDescent="0.2">
      <c r="A134" s="237" t="s">
        <v>30</v>
      </c>
      <c r="B134" s="11"/>
      <c r="C134" s="174">
        <f>E136+((B134/$B$24)*Indeks!$D$163)*(H134/$H$24)</f>
        <v>0</v>
      </c>
      <c r="G134" s="238"/>
      <c r="H134" s="239"/>
    </row>
    <row r="135" spans="1:8" x14ac:dyDescent="0.2">
      <c r="A135" s="237" t="s">
        <v>14</v>
      </c>
      <c r="B135" s="11"/>
      <c r="C135" s="174">
        <f>+((B135/$B$24)*Indeks!$D$163)*(H135/$H$24)</f>
        <v>0</v>
      </c>
      <c r="G135" s="247"/>
      <c r="H135" s="248"/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  <mergeCell ref="B126:B127"/>
    <mergeCell ref="C126:C127"/>
    <mergeCell ref="B111:B112"/>
    <mergeCell ref="C111:C112"/>
    <mergeCell ref="B96:B97"/>
    <mergeCell ref="C96:C97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2024-12-19T09:20:33Z</cp:lastPrinted>
  <dcterms:created xsi:type="dcterms:W3CDTF">2009-05-19T06:17:18Z</dcterms:created>
  <dcterms:modified xsi:type="dcterms:W3CDTF">2025-01-20T20:14:16Z</dcterms:modified>
</cp:coreProperties>
</file>