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O-faelles$\Entreprenører\Beregning af indeks til entreprenørafregninger\HVO indeks\Til Hjemmeside\SBLON\"/>
    </mc:Choice>
  </mc:AlternateContent>
  <xr:revisionPtr revIDLastSave="0" documentId="13_ncr:1_{1D63E116-3C0A-4E74-9D9B-5AD05F805D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eks" sheetId="1" r:id="rId1"/>
    <sheet name="Reelle vægte" sheetId="2" r:id="rId2"/>
    <sheet name="Udvikling i indeks" sheetId="5" r:id="rId3"/>
    <sheet name="Kilder og dokumentation" sheetId="4" r:id="rId4"/>
    <sheet name="Note pris 10" sheetId="6" state="hidden" r:id="rId5"/>
    <sheet name="Beregning HVO indeks" sheetId="8" r:id="rId6"/>
  </sheets>
  <definedNames>
    <definedName name="LønStigning2009">Indeks!$J$58</definedName>
    <definedName name="LønStigning2010">Indeks!$J$82</definedName>
    <definedName name="LønStigning2011">Indeks!$J$94</definedName>
    <definedName name="PrisStigning2009">Indeks!$J$61</definedName>
    <definedName name="Prisstigning2010">Indeks!$J$85</definedName>
    <definedName name="PrisStigning2011">Indeks!$J$97</definedName>
    <definedName name="_xlnm.Print_Area" localSheetId="5">'Beregning HVO indeks'!$A$1:$N$141</definedName>
    <definedName name="_xlnm.Print_Area" localSheetId="0">Indeks!$A$1:$J$276</definedName>
    <definedName name="_xlnm.Print_Area" localSheetId="3">'Kilder og dokumentation'!$A$1:$G$54</definedName>
    <definedName name="_xlnm.Print_Area" localSheetId="4">'Note pris 10'!$A$2:$K$7</definedName>
    <definedName name="_xlnm.Print_Titles" localSheetId="0">Indeks!$1:$160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7" i="1" l="1"/>
  <c r="E247" i="1"/>
  <c r="C248" i="1"/>
  <c r="C247" i="1"/>
  <c r="C246" i="1"/>
  <c r="C245" i="1"/>
  <c r="C244" i="1"/>
  <c r="C243" i="1"/>
  <c r="C242" i="1"/>
  <c r="F246" i="1" l="1"/>
  <c r="E246" i="1"/>
  <c r="D246" i="1"/>
  <c r="C139" i="8"/>
  <c r="C138" i="8"/>
  <c r="C137" i="8"/>
  <c r="C136" i="8"/>
  <c r="C135" i="8"/>
  <c r="C134" i="8"/>
  <c r="C133" i="8"/>
  <c r="C132" i="8"/>
  <c r="C131" i="8"/>
  <c r="C130" i="8"/>
  <c r="C129" i="8"/>
  <c r="D247" i="1" s="1"/>
  <c r="H247" i="1" s="1"/>
  <c r="C128" i="8"/>
  <c r="A256" i="5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57" i="2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23" i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59" i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47" i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36" i="1"/>
  <c r="A237" i="1" s="1"/>
  <c r="A238" i="1" s="1"/>
  <c r="A239" i="1" s="1"/>
  <c r="A240" i="1" s="1"/>
  <c r="A241" i="1" s="1"/>
  <c r="A242" i="1" s="1"/>
  <c r="A243" i="1" s="1"/>
  <c r="A244" i="1" s="1"/>
  <c r="A245" i="1" s="1"/>
  <c r="A235" i="1"/>
  <c r="H246" i="1" l="1"/>
  <c r="E245" i="1"/>
  <c r="E244" i="1"/>
  <c r="E243" i="1"/>
  <c r="E242" i="1"/>
  <c r="E241" i="1"/>
  <c r="C241" i="1"/>
  <c r="C240" i="1"/>
  <c r="E240" i="1"/>
  <c r="E239" i="1"/>
  <c r="E238" i="1"/>
  <c r="E237" i="1"/>
  <c r="C239" i="1"/>
  <c r="C238" i="1"/>
  <c r="C237" i="1"/>
  <c r="E236" i="1"/>
  <c r="C236" i="1"/>
  <c r="E235" i="1" l="1"/>
  <c r="C235" i="1"/>
  <c r="C234" i="1"/>
  <c r="E234" i="1"/>
  <c r="A244" i="5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45" i="2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E233" i="1"/>
  <c r="E232" i="1"/>
  <c r="E231" i="1"/>
  <c r="C233" i="1"/>
  <c r="C232" i="1"/>
  <c r="C231" i="1"/>
  <c r="E230" i="1"/>
  <c r="E229" i="1"/>
  <c r="E228" i="1"/>
  <c r="C230" i="1"/>
  <c r="C229" i="1"/>
  <c r="C228" i="1"/>
  <c r="E227" i="1"/>
  <c r="E226" i="1"/>
  <c r="E225" i="1"/>
  <c r="C227" i="1"/>
  <c r="C226" i="1"/>
  <c r="C225" i="1"/>
  <c r="E224" i="1"/>
  <c r="E223" i="1"/>
  <c r="A232" i="5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33" i="2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E222" i="1"/>
  <c r="C224" i="1"/>
  <c r="C223" i="1"/>
  <c r="C222" i="1"/>
  <c r="E221" i="1"/>
  <c r="E220" i="1"/>
  <c r="C221" i="1"/>
  <c r="C220" i="1"/>
  <c r="C219" i="1"/>
  <c r="E219" i="1"/>
  <c r="E218" i="1"/>
  <c r="C218" i="1"/>
  <c r="E217" i="1"/>
  <c r="E216" i="1"/>
  <c r="C217" i="1"/>
  <c r="C216" i="1"/>
  <c r="E215" i="1"/>
  <c r="C215" i="1"/>
  <c r="E214" i="1"/>
  <c r="C214" i="1"/>
  <c r="E213" i="1"/>
  <c r="C213" i="1"/>
  <c r="E212" i="1"/>
  <c r="E211" i="1"/>
  <c r="A220" i="5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21" i="2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E210" i="1"/>
  <c r="C212" i="1"/>
  <c r="C211" i="1"/>
  <c r="C210" i="1"/>
  <c r="E209" i="1"/>
  <c r="E208" i="1"/>
  <c r="E207" i="1"/>
  <c r="C209" i="1"/>
  <c r="C208" i="1"/>
  <c r="C207" i="1"/>
  <c r="E206" i="1"/>
  <c r="E205" i="1"/>
  <c r="E204" i="1" l="1"/>
  <c r="C206" i="1"/>
  <c r="C205" i="1"/>
  <c r="C204" i="1"/>
  <c r="E203" i="1" l="1"/>
  <c r="E202" i="1"/>
  <c r="E201" i="1"/>
  <c r="C203" i="1"/>
  <c r="C202" i="1"/>
  <c r="C201" i="1"/>
  <c r="E200" i="1"/>
  <c r="E199" i="1"/>
  <c r="E198" i="1"/>
  <c r="C200" i="1"/>
  <c r="C199" i="1"/>
  <c r="C198" i="1"/>
  <c r="A209" i="2"/>
  <c r="A210" i="2"/>
  <c r="A211" i="2" s="1"/>
  <c r="A212" i="2" s="1"/>
  <c r="A213" i="2" s="1"/>
  <c r="A214" i="2" s="1"/>
  <c r="A215" i="2" s="1"/>
  <c r="A216" i="2" s="1"/>
  <c r="A217" i="2" s="1"/>
  <c r="A218" i="2" s="1"/>
  <c r="A219" i="2" s="1"/>
  <c r="A208" i="5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1" i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E197" i="1"/>
  <c r="E196" i="1"/>
  <c r="E195" i="1"/>
  <c r="E194" i="1"/>
  <c r="C197" i="1"/>
  <c r="C196" i="1"/>
  <c r="C195" i="1"/>
  <c r="E193" i="1"/>
  <c r="C194" i="1"/>
  <c r="C193" i="1"/>
  <c r="C192" i="1"/>
  <c r="E192" i="1"/>
  <c r="E191" i="1"/>
  <c r="C190" i="1"/>
  <c r="E190" i="1"/>
  <c r="E189" i="1"/>
  <c r="C191" i="1"/>
  <c r="C189" i="1"/>
  <c r="C184" i="1"/>
  <c r="E188" i="1"/>
  <c r="E187" i="1"/>
  <c r="E186" i="1"/>
  <c r="C188" i="1"/>
  <c r="C187" i="1"/>
  <c r="C186" i="1"/>
  <c r="A196" i="5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197" i="2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199" i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E185" i="1"/>
  <c r="E184" i="1"/>
  <c r="E183" i="1"/>
  <c r="C185" i="1"/>
  <c r="C183" i="1"/>
  <c r="E182" i="1"/>
  <c r="E181" i="1"/>
  <c r="E180" i="1"/>
  <c r="C182" i="1"/>
  <c r="C181" i="1"/>
  <c r="C180" i="1"/>
  <c r="E179" i="1"/>
  <c r="E178" i="1"/>
  <c r="C178" i="1"/>
  <c r="C179" i="1"/>
  <c r="E177" i="1"/>
  <c r="C177" i="1"/>
  <c r="E176" i="1"/>
  <c r="F175" i="1"/>
  <c r="F187" i="1" s="1"/>
  <c r="E175" i="1"/>
  <c r="F174" i="1"/>
  <c r="E174" i="1"/>
  <c r="E173" i="1"/>
  <c r="C176" i="1"/>
  <c r="C175" i="1"/>
  <c r="C174" i="1"/>
  <c r="A184" i="5"/>
  <c r="A185" i="5"/>
  <c r="A186" i="5" s="1"/>
  <c r="A187" i="5" s="1"/>
  <c r="A188" i="5" s="1"/>
  <c r="A189" i="5" s="1"/>
  <c r="A190" i="5" s="1"/>
  <c r="A191" i="5" s="1"/>
  <c r="A192" i="5" s="1"/>
  <c r="A193" i="5" s="1"/>
  <c r="A194" i="5" s="1"/>
  <c r="A185" i="2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87" i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F173" i="1"/>
  <c r="F172" i="1"/>
  <c r="F171" i="1"/>
  <c r="E172" i="1"/>
  <c r="F170" i="1"/>
  <c r="E171" i="1"/>
  <c r="E170" i="1"/>
  <c r="C173" i="1"/>
  <c r="C172" i="1"/>
  <c r="C171" i="1"/>
  <c r="F169" i="1"/>
  <c r="E169" i="1"/>
  <c r="E104" i="1"/>
  <c r="E129" i="1" s="1"/>
  <c r="E130" i="1" s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C125" i="1"/>
  <c r="C126" i="1"/>
  <c r="H126" i="1" s="1"/>
  <c r="G154" i="1"/>
  <c r="H7" i="8"/>
  <c r="H12" i="8" s="1"/>
  <c r="C7" i="8"/>
  <c r="C18" i="8"/>
  <c r="C8" i="8"/>
  <c r="B7" i="8"/>
  <c r="B11" i="8"/>
  <c r="B13" i="8"/>
  <c r="C163" i="1"/>
  <c r="E163" i="1"/>
  <c r="F163" i="1"/>
  <c r="H13" i="8"/>
  <c r="C162" i="1"/>
  <c r="E162" i="1"/>
  <c r="F162" i="1"/>
  <c r="I7" i="8"/>
  <c r="I12" i="8" s="1"/>
  <c r="J7" i="8"/>
  <c r="J12" i="8" s="1"/>
  <c r="K7" i="8"/>
  <c r="K9" i="8" s="1"/>
  <c r="L7" i="8"/>
  <c r="L12" i="8" s="1"/>
  <c r="L13" i="8"/>
  <c r="K13" i="8"/>
  <c r="J13" i="8"/>
  <c r="C146" i="1"/>
  <c r="C136" i="1"/>
  <c r="C137" i="1"/>
  <c r="C138" i="1"/>
  <c r="C139" i="1"/>
  <c r="C140" i="1"/>
  <c r="C141" i="1"/>
  <c r="C142" i="1"/>
  <c r="C143" i="1"/>
  <c r="C144" i="1"/>
  <c r="C145" i="1"/>
  <c r="C147" i="1"/>
  <c r="C127" i="1"/>
  <c r="H127" i="1" s="1"/>
  <c r="E127" i="2" s="1"/>
  <c r="C128" i="1"/>
  <c r="C129" i="1"/>
  <c r="C130" i="1"/>
  <c r="C131" i="1"/>
  <c r="C132" i="1"/>
  <c r="C133" i="1"/>
  <c r="C134" i="1"/>
  <c r="C135" i="1"/>
  <c r="C169" i="1"/>
  <c r="C148" i="1"/>
  <c r="C151" i="1"/>
  <c r="C152" i="1"/>
  <c r="C153" i="1"/>
  <c r="C154" i="1"/>
  <c r="C155" i="1"/>
  <c r="C156" i="1"/>
  <c r="C157" i="1"/>
  <c r="C158" i="1"/>
  <c r="C159" i="1"/>
  <c r="C168" i="1"/>
  <c r="C170" i="1"/>
  <c r="C164" i="1"/>
  <c r="C165" i="1"/>
  <c r="C166" i="1"/>
  <c r="C167" i="1"/>
  <c r="E168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38" i="1"/>
  <c r="E139" i="1"/>
  <c r="E140" i="1"/>
  <c r="E141" i="1"/>
  <c r="E142" i="1"/>
  <c r="E143" i="1"/>
  <c r="E144" i="1"/>
  <c r="E145" i="1"/>
  <c r="E146" i="1"/>
  <c r="E147" i="1"/>
  <c r="E164" i="1"/>
  <c r="E165" i="1"/>
  <c r="E166" i="1"/>
  <c r="E167" i="1"/>
  <c r="F168" i="1"/>
  <c r="F164" i="1"/>
  <c r="F165" i="1"/>
  <c r="F166" i="1"/>
  <c r="F167" i="1"/>
  <c r="G175" i="1"/>
  <c r="F125" i="1"/>
  <c r="D151" i="1"/>
  <c r="D152" i="1"/>
  <c r="D155" i="1"/>
  <c r="D140" i="1"/>
  <c r="D143" i="1"/>
  <c r="D145" i="1"/>
  <c r="H40" i="1"/>
  <c r="F40" i="2" s="1"/>
  <c r="D158" i="1"/>
  <c r="H75" i="1"/>
  <c r="E75" i="2" s="1"/>
  <c r="H74" i="1"/>
  <c r="E74" i="2" s="1"/>
  <c r="H73" i="1"/>
  <c r="E73" i="2" s="1"/>
  <c r="H72" i="1"/>
  <c r="C72" i="2" s="1"/>
  <c r="H71" i="1"/>
  <c r="G71" i="2" s="1"/>
  <c r="H70" i="1"/>
  <c r="G70" i="2" s="1"/>
  <c r="H69" i="1"/>
  <c r="C69" i="2" s="1"/>
  <c r="H68" i="1"/>
  <c r="E68" i="2" s="1"/>
  <c r="H67" i="1"/>
  <c r="C66" i="5" s="1"/>
  <c r="H66" i="1"/>
  <c r="E66" i="2" s="1"/>
  <c r="H65" i="1"/>
  <c r="G65" i="2" s="1"/>
  <c r="H64" i="1"/>
  <c r="D64" i="2" s="1"/>
  <c r="A65" i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172" i="5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73" i="2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D159" i="1"/>
  <c r="A175" i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D157" i="1"/>
  <c r="D156" i="1"/>
  <c r="D154" i="1"/>
  <c r="D153" i="1"/>
  <c r="A163" i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D150" i="1"/>
  <c r="D149" i="1"/>
  <c r="D148" i="1"/>
  <c r="D147" i="1"/>
  <c r="A147" i="1"/>
  <c r="A161" i="2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60" i="5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D146" i="1"/>
  <c r="D144" i="1"/>
  <c r="D142" i="1"/>
  <c r="D141" i="1"/>
  <c r="D139" i="1"/>
  <c r="C7" i="6"/>
  <c r="D7" i="6"/>
  <c r="E7" i="6"/>
  <c r="F7" i="6"/>
  <c r="G7" i="6"/>
  <c r="I7" i="6"/>
  <c r="J7" i="6"/>
  <c r="K7" i="6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D9" i="5"/>
  <c r="F14" i="5"/>
  <c r="G14" i="5"/>
  <c r="A16" i="5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G26" i="5"/>
  <c r="A28" i="5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40" i="5"/>
  <c r="A41" i="5"/>
  <c r="A42" i="5" s="1"/>
  <c r="A43" i="5" s="1"/>
  <c r="A44" i="5" s="1"/>
  <c r="A45" i="5" s="1"/>
  <c r="A46" i="5" s="1"/>
  <c r="A47" i="5" s="1"/>
  <c r="A48" i="5" s="1"/>
  <c r="A49" i="5" s="1"/>
  <c r="A50" i="5" s="1"/>
  <c r="A52" i="5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4" i="5"/>
  <c r="A65" i="5"/>
  <c r="A66" i="5"/>
  <c r="A67" i="5" s="1"/>
  <c r="A68" i="5" s="1"/>
  <c r="A69" i="5" s="1"/>
  <c r="A70" i="5" s="1"/>
  <c r="A71" i="5" s="1"/>
  <c r="A72" i="5" s="1"/>
  <c r="A73" i="5" s="1"/>
  <c r="A74" i="5" s="1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8" i="5"/>
  <c r="A89" i="5"/>
  <c r="A90" i="5" s="1"/>
  <c r="A91" i="5" s="1"/>
  <c r="A92" i="5" s="1"/>
  <c r="A93" i="5" s="1"/>
  <c r="A94" i="5" s="1"/>
  <c r="A95" i="5" s="1"/>
  <c r="A96" i="5" s="1"/>
  <c r="A97" i="5" s="1"/>
  <c r="A98" i="5" s="1"/>
  <c r="A100" i="5"/>
  <c r="A101" i="5"/>
  <c r="A102" i="5"/>
  <c r="A103" i="5" s="1"/>
  <c r="A104" i="5" s="1"/>
  <c r="A105" i="5" s="1"/>
  <c r="A106" i="5" s="1"/>
  <c r="A107" i="5" s="1"/>
  <c r="A108" i="5" s="1"/>
  <c r="A109" i="5" s="1"/>
  <c r="A110" i="5" s="1"/>
  <c r="A112" i="5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4" i="5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6" i="5"/>
  <c r="A137" i="5"/>
  <c r="A138" i="5" s="1"/>
  <c r="A139" i="5" s="1"/>
  <c r="A140" i="5" s="1"/>
  <c r="A141" i="5" s="1"/>
  <c r="A142" i="5" s="1"/>
  <c r="A143" i="5" s="1"/>
  <c r="A144" i="5" s="1"/>
  <c r="A145" i="5" s="1"/>
  <c r="A146" i="5" s="1"/>
  <c r="A148" i="5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41" i="2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3" i="2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5" i="2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7" i="2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9" i="2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3" i="2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5" i="2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7" i="2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9" i="2"/>
  <c r="A150" i="2"/>
  <c r="A151" i="2" s="1"/>
  <c r="A152" i="2" s="1"/>
  <c r="A153" i="2" s="1"/>
  <c r="A154" i="2" s="1"/>
  <c r="A155" i="2" s="1"/>
  <c r="A156" i="2" s="1"/>
  <c r="A157" i="2" s="1"/>
  <c r="A158" i="2" s="1"/>
  <c r="A159" i="2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I5" i="1"/>
  <c r="I6" i="1"/>
  <c r="I7" i="1"/>
  <c r="I8" i="1"/>
  <c r="I9" i="1"/>
  <c r="H10" i="1"/>
  <c r="C10" i="2" s="1"/>
  <c r="H11" i="1"/>
  <c r="F11" i="2" s="1"/>
  <c r="H12" i="1"/>
  <c r="E12" i="2" s="1"/>
  <c r="H13" i="1"/>
  <c r="H14" i="1"/>
  <c r="C14" i="2" s="1"/>
  <c r="H15" i="1"/>
  <c r="H16" i="1"/>
  <c r="D16" i="2" s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H17" i="1"/>
  <c r="H18" i="1"/>
  <c r="D18" i="2" s="1"/>
  <c r="H19" i="1"/>
  <c r="D19" i="2" s="1"/>
  <c r="H20" i="1"/>
  <c r="C20" i="2" s="1"/>
  <c r="H21" i="1"/>
  <c r="G21" i="2" s="1"/>
  <c r="H22" i="1"/>
  <c r="D22" i="2" s="1"/>
  <c r="H23" i="1"/>
  <c r="G23" i="2" s="1"/>
  <c r="H24" i="1"/>
  <c r="C23" i="5" s="1"/>
  <c r="H25" i="1"/>
  <c r="E25" i="2" s="1"/>
  <c r="H26" i="1"/>
  <c r="C25" i="5" s="1"/>
  <c r="H27" i="1"/>
  <c r="F27" i="2" s="1"/>
  <c r="H28" i="1"/>
  <c r="G28" i="2" s="1"/>
  <c r="A29" i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H29" i="1"/>
  <c r="F29" i="2" s="1"/>
  <c r="H30" i="1"/>
  <c r="G30" i="2" s="1"/>
  <c r="H31" i="1"/>
  <c r="H32" i="1"/>
  <c r="G32" i="2" s="1"/>
  <c r="H33" i="1"/>
  <c r="F33" i="2" s="1"/>
  <c r="H34" i="1"/>
  <c r="D34" i="2" s="1"/>
  <c r="H35" i="1"/>
  <c r="C35" i="2" s="1"/>
  <c r="H36" i="1"/>
  <c r="C35" i="5" s="1"/>
  <c r="H37" i="1"/>
  <c r="E37" i="2" s="1"/>
  <c r="H38" i="1"/>
  <c r="H39" i="1"/>
  <c r="G39" i="2" s="1"/>
  <c r="A41" i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H41" i="1"/>
  <c r="G41" i="2" s="1"/>
  <c r="H42" i="1"/>
  <c r="F42" i="2" s="1"/>
  <c r="H43" i="1"/>
  <c r="F43" i="2" s="1"/>
  <c r="H44" i="1"/>
  <c r="F44" i="2" s="1"/>
  <c r="H45" i="1"/>
  <c r="G45" i="2" s="1"/>
  <c r="H46" i="1"/>
  <c r="H47" i="1"/>
  <c r="D47" i="2" s="1"/>
  <c r="H48" i="1"/>
  <c r="G48" i="2" s="1"/>
  <c r="H49" i="1"/>
  <c r="F49" i="2" s="1"/>
  <c r="H50" i="1"/>
  <c r="C50" i="2" s="1"/>
  <c r="H51" i="1"/>
  <c r="C50" i="5" s="1"/>
  <c r="H52" i="1"/>
  <c r="D52" i="2" s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H53" i="1"/>
  <c r="C53" i="2" s="1"/>
  <c r="H54" i="1"/>
  <c r="G54" i="2" s="1"/>
  <c r="H55" i="1"/>
  <c r="C55" i="2" s="1"/>
  <c r="H56" i="1"/>
  <c r="H57" i="1"/>
  <c r="C56" i="5" s="1"/>
  <c r="H58" i="1"/>
  <c r="C57" i="5" s="1"/>
  <c r="H59" i="1"/>
  <c r="E59" i="2" s="1"/>
  <c r="H60" i="1"/>
  <c r="C60" i="2" s="1"/>
  <c r="H61" i="1"/>
  <c r="G61" i="2" s="1"/>
  <c r="H62" i="1"/>
  <c r="C61" i="5" s="1"/>
  <c r="H63" i="1"/>
  <c r="H76" i="1"/>
  <c r="F76" i="2" s="1"/>
  <c r="A77" i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H77" i="1"/>
  <c r="D77" i="2" s="1"/>
  <c r="H78" i="1"/>
  <c r="C78" i="2" s="1"/>
  <c r="H79" i="1"/>
  <c r="C78" i="5" s="1"/>
  <c r="C80" i="1"/>
  <c r="H80" i="1" s="1"/>
  <c r="C81" i="1"/>
  <c r="H81" i="1" s="1"/>
  <c r="E81" i="2" s="1"/>
  <c r="H82" i="1"/>
  <c r="F82" i="2" s="1"/>
  <c r="C83" i="1"/>
  <c r="H83" i="1" s="1"/>
  <c r="G83" i="2" s="1"/>
  <c r="C84" i="1"/>
  <c r="H84" i="1" s="1"/>
  <c r="G84" i="2" s="1"/>
  <c r="H85" i="1"/>
  <c r="C85" i="2" s="1"/>
  <c r="C86" i="1"/>
  <c r="C87" i="1"/>
  <c r="H88" i="1"/>
  <c r="D88" i="2" s="1"/>
  <c r="A89" i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C89" i="1"/>
  <c r="H89" i="1" s="1"/>
  <c r="F89" i="2" s="1"/>
  <c r="C90" i="1"/>
  <c r="H90" i="1" s="1"/>
  <c r="H91" i="1"/>
  <c r="C90" i="5" s="1"/>
  <c r="C92" i="1"/>
  <c r="H92" i="1" s="1"/>
  <c r="C92" i="2" s="1"/>
  <c r="C93" i="1"/>
  <c r="H93" i="1" s="1"/>
  <c r="D93" i="2" s="1"/>
  <c r="H94" i="1"/>
  <c r="E94" i="2" s="1"/>
  <c r="C95" i="1"/>
  <c r="H95" i="1" s="1"/>
  <c r="C94" i="5" s="1"/>
  <c r="C96" i="1"/>
  <c r="H96" i="1" s="1"/>
  <c r="D96" i="2" s="1"/>
  <c r="H97" i="1"/>
  <c r="G97" i="2" s="1"/>
  <c r="C98" i="1"/>
  <c r="H98" i="1" s="1"/>
  <c r="C97" i="5" s="1"/>
  <c r="C99" i="1"/>
  <c r="D99" i="1"/>
  <c r="C100" i="1"/>
  <c r="H100" i="1" s="1"/>
  <c r="C100" i="2" s="1"/>
  <c r="A101" i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C101" i="1"/>
  <c r="H101" i="1" s="1"/>
  <c r="F101" i="2" s="1"/>
  <c r="C102" i="1"/>
  <c r="H102" i="1" s="1"/>
  <c r="C103" i="1"/>
  <c r="F103" i="1"/>
  <c r="C104" i="1"/>
  <c r="C105" i="1"/>
  <c r="H105" i="1" s="1"/>
  <c r="E105" i="2" s="1"/>
  <c r="C106" i="1"/>
  <c r="H106" i="1" s="1"/>
  <c r="C106" i="2" s="1"/>
  <c r="C107" i="1"/>
  <c r="H107" i="1" s="1"/>
  <c r="C106" i="5" s="1"/>
  <c r="C108" i="1"/>
  <c r="H108" i="1" s="1"/>
  <c r="C107" i="5" s="1"/>
  <c r="C109" i="1"/>
  <c r="C111" i="1" s="1"/>
  <c r="H111" i="1" s="1"/>
  <c r="H109" i="1"/>
  <c r="C109" i="2" s="1"/>
  <c r="C112" i="1"/>
  <c r="C113" i="1" s="1"/>
  <c r="H113" i="1" s="1"/>
  <c r="D113" i="2" s="1"/>
  <c r="A113" i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C115" i="1"/>
  <c r="H115" i="1" s="1"/>
  <c r="D115" i="2" s="1"/>
  <c r="C118" i="1"/>
  <c r="C120" i="1" s="1"/>
  <c r="H120" i="1" s="1"/>
  <c r="G120" i="2" s="1"/>
  <c r="C121" i="1"/>
  <c r="H121" i="1" s="1"/>
  <c r="D121" i="2" s="1"/>
  <c r="F122" i="1"/>
  <c r="F123" i="1"/>
  <c r="F124" i="1"/>
  <c r="A125" i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F129" i="1"/>
  <c r="F130" i="1"/>
  <c r="F131" i="1"/>
  <c r="H131" i="1" s="1"/>
  <c r="G131" i="2" s="1"/>
  <c r="F132" i="1"/>
  <c r="F133" i="1"/>
  <c r="H133" i="1" s="1"/>
  <c r="F134" i="1"/>
  <c r="F135" i="1"/>
  <c r="H135" i="1" s="1"/>
  <c r="A137" i="1"/>
  <c r="A138" i="1" s="1"/>
  <c r="A139" i="1" s="1"/>
  <c r="A140" i="1" s="1"/>
  <c r="A141" i="1" s="1"/>
  <c r="A142" i="1" s="1"/>
  <c r="A143" i="1" s="1"/>
  <c r="A144" i="1" s="1"/>
  <c r="A145" i="1" s="1"/>
  <c r="D138" i="1"/>
  <c r="G138" i="1"/>
  <c r="A149" i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H128" i="1"/>
  <c r="C128" i="2" s="1"/>
  <c r="H7" i="6"/>
  <c r="D68" i="2"/>
  <c r="E19" i="2"/>
  <c r="C11" i="8"/>
  <c r="C13" i="8"/>
  <c r="I13" i="8"/>
  <c r="D163" i="1"/>
  <c r="F67" i="2"/>
  <c r="C67" i="2"/>
  <c r="C18" i="5"/>
  <c r="C67" i="5"/>
  <c r="I10" i="1"/>
  <c r="C14" i="8"/>
  <c r="D13" i="8"/>
  <c r="F189" i="1"/>
  <c r="F188" i="1"/>
  <c r="D196" i="1"/>
  <c r="F192" i="1" l="1"/>
  <c r="F193" i="1"/>
  <c r="F186" i="1"/>
  <c r="C97" i="2"/>
  <c r="F184" i="1"/>
  <c r="F181" i="1"/>
  <c r="H104" i="1"/>
  <c r="C103" i="5" s="1"/>
  <c r="F191" i="1"/>
  <c r="F180" i="1"/>
  <c r="D74" i="2"/>
  <c r="F190" i="1"/>
  <c r="F26" i="2"/>
  <c r="H155" i="1"/>
  <c r="F155" i="2" s="1"/>
  <c r="C106" i="8"/>
  <c r="D230" i="1" s="1"/>
  <c r="C123" i="8"/>
  <c r="D244" i="1" s="1"/>
  <c r="C119" i="8"/>
  <c r="D240" i="1" s="1"/>
  <c r="C118" i="8"/>
  <c r="D239" i="1" s="1"/>
  <c r="C122" i="8"/>
  <c r="D243" i="1" s="1"/>
  <c r="C117" i="8"/>
  <c r="D238" i="1" s="1"/>
  <c r="C116" i="8"/>
  <c r="D237" i="1" s="1"/>
  <c r="C115" i="8"/>
  <c r="D236" i="1" s="1"/>
  <c r="C120" i="8"/>
  <c r="D241" i="1" s="1"/>
  <c r="C114" i="8"/>
  <c r="D235" i="1" s="1"/>
  <c r="C113" i="8"/>
  <c r="D234" i="1" s="1"/>
  <c r="C124" i="8"/>
  <c r="D245" i="1" s="1"/>
  <c r="C121" i="8"/>
  <c r="D242" i="1" s="1"/>
  <c r="C110" i="1"/>
  <c r="H110" i="1" s="1"/>
  <c r="F110" i="2" s="1"/>
  <c r="F183" i="1"/>
  <c r="F245" i="1"/>
  <c r="F241" i="1"/>
  <c r="F236" i="1"/>
  <c r="F244" i="1"/>
  <c r="F240" i="1"/>
  <c r="F243" i="1"/>
  <c r="F239" i="1"/>
  <c r="F242" i="1"/>
  <c r="F238" i="1"/>
  <c r="F237" i="1"/>
  <c r="F235" i="1"/>
  <c r="F234" i="1"/>
  <c r="H146" i="1"/>
  <c r="C145" i="5" s="1"/>
  <c r="H9" i="8"/>
  <c r="C116" i="1"/>
  <c r="H116" i="1" s="1"/>
  <c r="D116" i="2" s="1"/>
  <c r="F196" i="1"/>
  <c r="H134" i="1"/>
  <c r="C123" i="1"/>
  <c r="C122" i="1"/>
  <c r="H122" i="1" s="1"/>
  <c r="C122" i="2" s="1"/>
  <c r="H157" i="1"/>
  <c r="C156" i="5" s="1"/>
  <c r="H125" i="1"/>
  <c r="C125" i="2" s="1"/>
  <c r="H156" i="1"/>
  <c r="G156" i="2" s="1"/>
  <c r="F199" i="1"/>
  <c r="F233" i="1"/>
  <c r="F225" i="1"/>
  <c r="F232" i="1"/>
  <c r="F230" i="1"/>
  <c r="F224" i="1"/>
  <c r="F222" i="1"/>
  <c r="F231" i="1"/>
  <c r="F229" i="1"/>
  <c r="F227" i="1"/>
  <c r="F228" i="1"/>
  <c r="F226" i="1"/>
  <c r="F223" i="1"/>
  <c r="H118" i="1"/>
  <c r="G118" i="2" s="1"/>
  <c r="C68" i="2"/>
  <c r="C114" i="1"/>
  <c r="H114" i="1" s="1"/>
  <c r="E114" i="2" s="1"/>
  <c r="H112" i="1"/>
  <c r="C111" i="5" s="1"/>
  <c r="F178" i="1"/>
  <c r="F185" i="1"/>
  <c r="C62" i="2"/>
  <c r="F23" i="2"/>
  <c r="C119" i="1"/>
  <c r="H119" i="1" s="1"/>
  <c r="H132" i="1"/>
  <c r="D132" i="2" s="1"/>
  <c r="F176" i="1"/>
  <c r="F182" i="1"/>
  <c r="F179" i="1"/>
  <c r="F194" i="1"/>
  <c r="F201" i="1"/>
  <c r="F195" i="1"/>
  <c r="F198" i="1"/>
  <c r="H142" i="1"/>
  <c r="E142" i="2" s="1"/>
  <c r="F177" i="1"/>
  <c r="I32" i="1"/>
  <c r="D32" i="2"/>
  <c r="E67" i="2"/>
  <c r="E32" i="2"/>
  <c r="C96" i="5"/>
  <c r="D67" i="2"/>
  <c r="C54" i="5"/>
  <c r="E97" i="2"/>
  <c r="E104" i="2"/>
  <c r="D97" i="2"/>
  <c r="C74" i="2"/>
  <c r="C150" i="1"/>
  <c r="H150" i="1" s="1"/>
  <c r="F150" i="2" s="1"/>
  <c r="C149" i="1"/>
  <c r="H149" i="1" s="1"/>
  <c r="F149" i="2" s="1"/>
  <c r="H144" i="1"/>
  <c r="E144" i="2" s="1"/>
  <c r="H136" i="1"/>
  <c r="G136" i="2" s="1"/>
  <c r="C109" i="8"/>
  <c r="D233" i="1" s="1"/>
  <c r="C101" i="8"/>
  <c r="D225" i="1" s="1"/>
  <c r="C108" i="8"/>
  <c r="D232" i="1" s="1"/>
  <c r="C107" i="8"/>
  <c r="D231" i="1" s="1"/>
  <c r="C99" i="8"/>
  <c r="D223" i="1" s="1"/>
  <c r="C98" i="8"/>
  <c r="D222" i="1" s="1"/>
  <c r="C105" i="8"/>
  <c r="D229" i="1" s="1"/>
  <c r="C100" i="8"/>
  <c r="D224" i="1" s="1"/>
  <c r="C104" i="8"/>
  <c r="D228" i="1" s="1"/>
  <c r="C103" i="8"/>
  <c r="D227" i="1" s="1"/>
  <c r="C88" i="8"/>
  <c r="D215" i="1" s="1"/>
  <c r="C102" i="8"/>
  <c r="D226" i="1" s="1"/>
  <c r="F96" i="2"/>
  <c r="E47" i="2"/>
  <c r="C95" i="5"/>
  <c r="D95" i="5" s="1"/>
  <c r="D127" i="2"/>
  <c r="F47" i="2"/>
  <c r="C104" i="5"/>
  <c r="C16" i="2"/>
  <c r="E96" i="2"/>
  <c r="G47" i="2"/>
  <c r="C25" i="8"/>
  <c r="D164" i="1" s="1"/>
  <c r="F97" i="2"/>
  <c r="C117" i="1"/>
  <c r="H117" i="1" s="1"/>
  <c r="I81" i="1" s="1"/>
  <c r="D62" i="2"/>
  <c r="H103" i="1"/>
  <c r="C103" i="2" s="1"/>
  <c r="H143" i="1"/>
  <c r="C143" i="2" s="1"/>
  <c r="H159" i="1"/>
  <c r="C158" i="5" s="1"/>
  <c r="H151" i="1"/>
  <c r="F151" i="2" s="1"/>
  <c r="C96" i="2"/>
  <c r="C102" i="2"/>
  <c r="C46" i="5"/>
  <c r="G62" i="2"/>
  <c r="G96" i="2"/>
  <c r="C26" i="8"/>
  <c r="D165" i="1" s="1"/>
  <c r="F127" i="2"/>
  <c r="F30" i="2"/>
  <c r="H158" i="1"/>
  <c r="G158" i="2" s="1"/>
  <c r="C126" i="5"/>
  <c r="F31" i="2"/>
  <c r="D89" i="2"/>
  <c r="C127" i="2"/>
  <c r="C88" i="2"/>
  <c r="C15" i="5"/>
  <c r="H141" i="1"/>
  <c r="C140" i="5" s="1"/>
  <c r="H140" i="1"/>
  <c r="H147" i="1"/>
  <c r="C146" i="5" s="1"/>
  <c r="F207" i="1"/>
  <c r="F219" i="1"/>
  <c r="F216" i="1"/>
  <c r="F214" i="1"/>
  <c r="F211" i="1"/>
  <c r="F212" i="1"/>
  <c r="F221" i="1"/>
  <c r="F206" i="1"/>
  <c r="F218" i="1"/>
  <c r="F213" i="1"/>
  <c r="F209" i="1"/>
  <c r="F217" i="1"/>
  <c r="F220" i="1"/>
  <c r="F205" i="1"/>
  <c r="F215" i="1"/>
  <c r="F208" i="1"/>
  <c r="F210" i="1"/>
  <c r="F204" i="1"/>
  <c r="F197" i="1"/>
  <c r="F202" i="1"/>
  <c r="F200" i="1"/>
  <c r="H145" i="1"/>
  <c r="D145" i="2" s="1"/>
  <c r="H153" i="1"/>
  <c r="C152" i="5" s="1"/>
  <c r="F203" i="1"/>
  <c r="E14" i="2"/>
  <c r="C68" i="5"/>
  <c r="D68" i="5" s="1"/>
  <c r="D69" i="2"/>
  <c r="G29" i="2"/>
  <c r="F45" i="2"/>
  <c r="G69" i="2"/>
  <c r="F69" i="2"/>
  <c r="H154" i="1"/>
  <c r="D154" i="2" s="1"/>
  <c r="E40" i="2"/>
  <c r="G100" i="2"/>
  <c r="C120" i="2"/>
  <c r="C98" i="2"/>
  <c r="D40" i="2"/>
  <c r="E69" i="2"/>
  <c r="H138" i="1"/>
  <c r="C137" i="5" s="1"/>
  <c r="I63" i="1"/>
  <c r="F121" i="2"/>
  <c r="C121" i="2"/>
  <c r="F59" i="2"/>
  <c r="D21" i="2"/>
  <c r="I22" i="1"/>
  <c r="E21" i="2"/>
  <c r="F51" i="2"/>
  <c r="F91" i="2"/>
  <c r="G127" i="2"/>
  <c r="F21" i="2"/>
  <c r="G14" i="2"/>
  <c r="D20" i="2"/>
  <c r="C20" i="5"/>
  <c r="I15" i="1"/>
  <c r="E58" i="2"/>
  <c r="I56" i="1"/>
  <c r="D106" i="2"/>
  <c r="D58" i="2"/>
  <c r="E35" i="2"/>
  <c r="G116" i="2"/>
  <c r="G16" i="2"/>
  <c r="D14" i="2"/>
  <c r="E116" i="2"/>
  <c r="C21" i="2"/>
  <c r="F16" i="2"/>
  <c r="D43" i="2"/>
  <c r="F35" i="2"/>
  <c r="C13" i="5"/>
  <c r="F14" i="2"/>
  <c r="G20" i="2"/>
  <c r="D135" i="2"/>
  <c r="E135" i="2"/>
  <c r="G33" i="2"/>
  <c r="C89" i="2"/>
  <c r="C116" i="2"/>
  <c r="D100" i="2"/>
  <c r="E100" i="2"/>
  <c r="C84" i="2"/>
  <c r="G36" i="2"/>
  <c r="E33" i="2"/>
  <c r="G68" i="2"/>
  <c r="F116" i="2"/>
  <c r="C43" i="5"/>
  <c r="E16" i="2"/>
  <c r="D104" i="2"/>
  <c r="F68" i="2"/>
  <c r="G67" i="2"/>
  <c r="E121" i="2"/>
  <c r="D105" i="2"/>
  <c r="C34" i="2"/>
  <c r="C41" i="5"/>
  <c r="E57" i="2"/>
  <c r="E89" i="2"/>
  <c r="F104" i="2"/>
  <c r="C113" i="2"/>
  <c r="E82" i="2"/>
  <c r="C32" i="5"/>
  <c r="C19" i="5"/>
  <c r="D19" i="5" s="1"/>
  <c r="E20" i="2"/>
  <c r="C33" i="2"/>
  <c r="I34" i="1"/>
  <c r="C33" i="5"/>
  <c r="H123" i="1"/>
  <c r="E123" i="2" s="1"/>
  <c r="I52" i="1"/>
  <c r="C88" i="5"/>
  <c r="E84" i="2"/>
  <c r="I85" i="1"/>
  <c r="D57" i="2"/>
  <c r="C19" i="2"/>
  <c r="C28" i="2"/>
  <c r="G89" i="2"/>
  <c r="E50" i="2"/>
  <c r="E115" i="2"/>
  <c r="C91" i="2"/>
  <c r="C32" i="2"/>
  <c r="E56" i="2"/>
  <c r="F19" i="2"/>
  <c r="C26" i="5"/>
  <c r="D26" i="5" s="1"/>
  <c r="C31" i="5"/>
  <c r="G128" i="2"/>
  <c r="C130" i="5"/>
  <c r="D33" i="2"/>
  <c r="G98" i="2"/>
  <c r="G91" i="2"/>
  <c r="E83" i="2"/>
  <c r="G19" i="2"/>
  <c r="F32" i="2"/>
  <c r="I48" i="1"/>
  <c r="C48" i="5"/>
  <c r="C44" i="2"/>
  <c r="I46" i="1"/>
  <c r="D42" i="2"/>
  <c r="D98" i="2"/>
  <c r="D91" i="2"/>
  <c r="F55" i="2"/>
  <c r="G34" i="2"/>
  <c r="C48" i="2"/>
  <c r="G63" i="2"/>
  <c r="E91" i="2"/>
  <c r="I35" i="1"/>
  <c r="I20" i="1"/>
  <c r="E34" i="2"/>
  <c r="F20" i="2"/>
  <c r="F34" i="2"/>
  <c r="C114" i="5"/>
  <c r="G26" i="2"/>
  <c r="D157" i="2"/>
  <c r="C115" i="2"/>
  <c r="I60" i="1"/>
  <c r="I11" i="1"/>
  <c r="E26" i="2"/>
  <c r="I19" i="1"/>
  <c r="E64" i="2"/>
  <c r="G25" i="2"/>
  <c r="D26" i="2"/>
  <c r="F53" i="2"/>
  <c r="I47" i="1"/>
  <c r="I39" i="1"/>
  <c r="C46" i="2"/>
  <c r="I59" i="1"/>
  <c r="F115" i="2"/>
  <c r="G53" i="2"/>
  <c r="C38" i="5"/>
  <c r="D57" i="5"/>
  <c r="D78" i="2"/>
  <c r="G85" i="2"/>
  <c r="C84" i="5"/>
  <c r="F18" i="2"/>
  <c r="C39" i="2"/>
  <c r="F46" i="2"/>
  <c r="E53" i="2"/>
  <c r="G115" i="2"/>
  <c r="F85" i="2"/>
  <c r="C77" i="5"/>
  <c r="D78" i="5" s="1"/>
  <c r="C59" i="2"/>
  <c r="G43" i="2"/>
  <c r="I18" i="1"/>
  <c r="E157" i="2"/>
  <c r="D85" i="2"/>
  <c r="C18" i="2"/>
  <c r="E39" i="2"/>
  <c r="D39" i="2"/>
  <c r="C52" i="5"/>
  <c r="I80" i="1"/>
  <c r="D59" i="2"/>
  <c r="C26" i="2"/>
  <c r="C157" i="2"/>
  <c r="D46" i="2"/>
  <c r="F39" i="2"/>
  <c r="G157" i="2"/>
  <c r="F157" i="2"/>
  <c r="I97" i="1"/>
  <c r="D53" i="2"/>
  <c r="C64" i="2"/>
  <c r="F105" i="2"/>
  <c r="I13" i="1"/>
  <c r="G59" i="2"/>
  <c r="C58" i="5"/>
  <c r="D58" i="5" s="1"/>
  <c r="E62" i="2"/>
  <c r="L9" i="8"/>
  <c r="C111" i="2"/>
  <c r="F64" i="2"/>
  <c r="G119" i="2"/>
  <c r="C118" i="5"/>
  <c r="F134" i="2"/>
  <c r="G134" i="2"/>
  <c r="G126" i="2"/>
  <c r="D126" i="2"/>
  <c r="C105" i="5"/>
  <c r="G51" i="2"/>
  <c r="G105" i="2"/>
  <c r="D72" i="2"/>
  <c r="E65" i="2"/>
  <c r="D65" i="2"/>
  <c r="D51" i="2"/>
  <c r="G11" i="2"/>
  <c r="C71" i="5"/>
  <c r="E63" i="2"/>
  <c r="F57" i="2"/>
  <c r="C112" i="5"/>
  <c r="C11" i="2"/>
  <c r="F106" i="2"/>
  <c r="G113" i="2"/>
  <c r="I12" i="1"/>
  <c r="E44" i="2"/>
  <c r="C63" i="2"/>
  <c r="G10" i="2"/>
  <c r="C55" i="5"/>
  <c r="D56" i="5" s="1"/>
  <c r="C63" i="5"/>
  <c r="F56" i="2"/>
  <c r="H86" i="1"/>
  <c r="E109" i="2"/>
  <c r="D11" i="2"/>
  <c r="G72" i="2"/>
  <c r="E85" i="2"/>
  <c r="F36" i="2"/>
  <c r="G57" i="2"/>
  <c r="E51" i="2"/>
  <c r="G77" i="2"/>
  <c r="I43" i="1"/>
  <c r="K12" i="8"/>
  <c r="E106" i="2"/>
  <c r="E11" i="2"/>
  <c r="D128" i="2"/>
  <c r="G58" i="2"/>
  <c r="D44" i="2"/>
  <c r="F63" i="2"/>
  <c r="C43" i="2"/>
  <c r="F128" i="2"/>
  <c r="D56" i="2"/>
  <c r="D24" i="2"/>
  <c r="G92" i="2"/>
  <c r="C87" i="5"/>
  <c r="F79" i="2"/>
  <c r="F72" i="2"/>
  <c r="E36" i="2"/>
  <c r="G44" i="2"/>
  <c r="G106" i="2"/>
  <c r="C51" i="2"/>
  <c r="D63" i="2"/>
  <c r="C57" i="2"/>
  <c r="F113" i="2"/>
  <c r="C104" i="2"/>
  <c r="C58" i="2"/>
  <c r="C62" i="5"/>
  <c r="D62" i="5" s="1"/>
  <c r="E43" i="2"/>
  <c r="I44" i="1"/>
  <c r="F10" i="2"/>
  <c r="D76" i="2"/>
  <c r="E92" i="2"/>
  <c r="G64" i="2"/>
  <c r="G79" i="2"/>
  <c r="E72" i="2"/>
  <c r="C36" i="2"/>
  <c r="E79" i="2"/>
  <c r="G37" i="2"/>
  <c r="F58" i="2"/>
  <c r="I14" i="1"/>
  <c r="C10" i="5"/>
  <c r="D36" i="2"/>
  <c r="D10" i="2"/>
  <c r="E10" i="2"/>
  <c r="G104" i="2"/>
  <c r="I58" i="1"/>
  <c r="C42" i="5"/>
  <c r="D23" i="2"/>
  <c r="C56" i="2"/>
  <c r="C9" i="5"/>
  <c r="C76" i="2"/>
  <c r="C81" i="2"/>
  <c r="F38" i="2"/>
  <c r="C132" i="5"/>
  <c r="G133" i="2"/>
  <c r="C133" i="2"/>
  <c r="F133" i="2"/>
  <c r="D133" i="2"/>
  <c r="E133" i="2"/>
  <c r="I92" i="1"/>
  <c r="F80" i="2"/>
  <c r="D80" i="2"/>
  <c r="C80" i="2"/>
  <c r="E80" i="2"/>
  <c r="C79" i="5"/>
  <c r="D79" i="5" s="1"/>
  <c r="G80" i="2"/>
  <c r="G90" i="2"/>
  <c r="D90" i="2"/>
  <c r="D131" i="2"/>
  <c r="E134" i="2"/>
  <c r="C42" i="2"/>
  <c r="D109" i="2"/>
  <c r="G82" i="2"/>
  <c r="D54" i="2"/>
  <c r="E131" i="2"/>
  <c r="C17" i="2"/>
  <c r="I90" i="1"/>
  <c r="E77" i="2"/>
  <c r="I62" i="1"/>
  <c r="C72" i="5"/>
  <c r="G73" i="2"/>
  <c r="F119" i="2"/>
  <c r="C95" i="2"/>
  <c r="C30" i="2"/>
  <c r="D95" i="2"/>
  <c r="C65" i="5"/>
  <c r="I26" i="1"/>
  <c r="F37" i="2"/>
  <c r="C12" i="2"/>
  <c r="I96" i="1"/>
  <c r="E38" i="2"/>
  <c r="F13" i="2"/>
  <c r="H152" i="1"/>
  <c r="F152" i="2" s="1"/>
  <c r="D120" i="2"/>
  <c r="C119" i="2"/>
  <c r="G38" i="2"/>
  <c r="G74" i="2"/>
  <c r="G60" i="2"/>
  <c r="E61" i="2"/>
  <c r="D73" i="2"/>
  <c r="D30" i="2"/>
  <c r="C49" i="2"/>
  <c r="G66" i="2"/>
  <c r="C60" i="5"/>
  <c r="D61" i="5" s="1"/>
  <c r="D25" i="2"/>
  <c r="E48" i="2"/>
  <c r="F131" i="2"/>
  <c r="D119" i="2"/>
  <c r="C53" i="5"/>
  <c r="G121" i="2"/>
  <c r="G42" i="2"/>
  <c r="F88" i="2"/>
  <c r="C59" i="5"/>
  <c r="C73" i="5"/>
  <c r="C120" i="5"/>
  <c r="C82" i="2"/>
  <c r="G88" i="2"/>
  <c r="I84" i="1"/>
  <c r="D38" i="2"/>
  <c r="I49" i="1"/>
  <c r="G94" i="2"/>
  <c r="I50" i="1"/>
  <c r="C25" i="2"/>
  <c r="C47" i="5"/>
  <c r="I54" i="1"/>
  <c r="D60" i="2"/>
  <c r="F61" i="2"/>
  <c r="F73" i="2"/>
  <c r="E93" i="2"/>
  <c r="C47" i="2"/>
  <c r="F54" i="2"/>
  <c r="G49" i="2"/>
  <c r="F66" i="2"/>
  <c r="D82" i="2"/>
  <c r="C29" i="5"/>
  <c r="D48" i="2"/>
  <c r="E49" i="2"/>
  <c r="F62" i="2"/>
  <c r="H99" i="1"/>
  <c r="F99" i="2" s="1"/>
  <c r="I95" i="1"/>
  <c r="E113" i="2"/>
  <c r="D29" i="2"/>
  <c r="H130" i="1"/>
  <c r="F130" i="2" s="1"/>
  <c r="C81" i="5"/>
  <c r="C119" i="5"/>
  <c r="E120" i="2"/>
  <c r="C16" i="5"/>
  <c r="D16" i="5" s="1"/>
  <c r="I61" i="1"/>
  <c r="C13" i="2"/>
  <c r="F25" i="2"/>
  <c r="F48" i="2"/>
  <c r="E60" i="2"/>
  <c r="E24" i="2"/>
  <c r="I25" i="1"/>
  <c r="I91" i="1"/>
  <c r="E54" i="2"/>
  <c r="F95" i="2"/>
  <c r="C66" i="2"/>
  <c r="F24" i="2"/>
  <c r="C79" i="2"/>
  <c r="F60" i="2"/>
  <c r="C38" i="2"/>
  <c r="C37" i="5"/>
  <c r="F12" i="2"/>
  <c r="I21" i="1"/>
  <c r="I41" i="1"/>
  <c r="C73" i="2"/>
  <c r="E30" i="2"/>
  <c r="C131" i="2"/>
  <c r="F120" i="2"/>
  <c r="C11" i="5"/>
  <c r="E119" i="2"/>
  <c r="C125" i="5"/>
  <c r="F100" i="2"/>
  <c r="C99" i="5"/>
  <c r="E29" i="2"/>
  <c r="C29" i="2"/>
  <c r="C108" i="5"/>
  <c r="C54" i="2"/>
  <c r="I38" i="1"/>
  <c r="F74" i="2"/>
  <c r="E13" i="2"/>
  <c r="I29" i="1"/>
  <c r="F77" i="2"/>
  <c r="I57" i="1"/>
  <c r="G24" i="2"/>
  <c r="C24" i="2"/>
  <c r="D61" i="2"/>
  <c r="I33" i="1"/>
  <c r="E42" i="2"/>
  <c r="C105" i="2"/>
  <c r="E88" i="2"/>
  <c r="E95" i="2"/>
  <c r="G56" i="2"/>
  <c r="D66" i="2"/>
  <c r="D79" i="2"/>
  <c r="C76" i="5"/>
  <c r="C24" i="5"/>
  <c r="D24" i="5" s="1"/>
  <c r="D12" i="2"/>
  <c r="H129" i="1"/>
  <c r="G129" i="2" s="1"/>
  <c r="D134" i="2"/>
  <c r="I30" i="1"/>
  <c r="F109" i="2"/>
  <c r="C12" i="5"/>
  <c r="G13" i="2"/>
  <c r="C28" i="5"/>
  <c r="C77" i="2"/>
  <c r="D13" i="2"/>
  <c r="I24" i="1"/>
  <c r="D49" i="2"/>
  <c r="G95" i="2"/>
  <c r="G12" i="2"/>
  <c r="D111" i="2"/>
  <c r="C110" i="5"/>
  <c r="G111" i="2"/>
  <c r="H124" i="1"/>
  <c r="D107" i="2"/>
  <c r="E107" i="2"/>
  <c r="F107" i="2"/>
  <c r="G107" i="2"/>
  <c r="I93" i="1"/>
  <c r="I94" i="1"/>
  <c r="D81" i="2"/>
  <c r="D71" i="2"/>
  <c r="C71" i="2"/>
  <c r="C133" i="5"/>
  <c r="G135" i="2"/>
  <c r="E27" i="2"/>
  <c r="E111" i="2"/>
  <c r="C107" i="2"/>
  <c r="F71" i="2"/>
  <c r="C23" i="2"/>
  <c r="G81" i="2"/>
  <c r="G50" i="2"/>
  <c r="D83" i="2"/>
  <c r="E22" i="2"/>
  <c r="E128" i="2"/>
  <c r="C127" i="5"/>
  <c r="E98" i="2"/>
  <c r="F98" i="2"/>
  <c r="E90" i="2"/>
  <c r="C89" i="5"/>
  <c r="C90" i="2"/>
  <c r="F90" i="2"/>
  <c r="H87" i="1"/>
  <c r="C87" i="2" s="1"/>
  <c r="D28" i="2"/>
  <c r="E28" i="2"/>
  <c r="F28" i="2"/>
  <c r="C27" i="5"/>
  <c r="C64" i="5"/>
  <c r="F65" i="2"/>
  <c r="C65" i="2"/>
  <c r="C14" i="5"/>
  <c r="E15" i="2"/>
  <c r="F15" i="2"/>
  <c r="D15" i="2"/>
  <c r="I16" i="1"/>
  <c r="E137" i="1"/>
  <c r="D35" i="2"/>
  <c r="G22" i="2"/>
  <c r="C92" i="5"/>
  <c r="C80" i="5"/>
  <c r="G15" i="2"/>
  <c r="E71" i="2"/>
  <c r="C40" i="5"/>
  <c r="E41" i="2"/>
  <c r="C41" i="2"/>
  <c r="D41" i="2"/>
  <c r="I42" i="1"/>
  <c r="F41" i="2"/>
  <c r="C17" i="5"/>
  <c r="G18" i="2"/>
  <c r="E18" i="2"/>
  <c r="F126" i="2"/>
  <c r="E126" i="2"/>
  <c r="C126" i="2"/>
  <c r="C27" i="2"/>
  <c r="G27" i="2"/>
  <c r="D27" i="2"/>
  <c r="C135" i="2"/>
  <c r="I27" i="1"/>
  <c r="C83" i="2"/>
  <c r="I36" i="1"/>
  <c r="G35" i="2"/>
  <c r="C15" i="2"/>
  <c r="E76" i="2"/>
  <c r="G76" i="2"/>
  <c r="C75" i="5"/>
  <c r="I89" i="1"/>
  <c r="E46" i="2"/>
  <c r="G46" i="2"/>
  <c r="C45" i="5"/>
  <c r="C37" i="2"/>
  <c r="D37" i="2"/>
  <c r="C36" i="5"/>
  <c r="D36" i="5" s="1"/>
  <c r="I37" i="1"/>
  <c r="G17" i="2"/>
  <c r="F17" i="2"/>
  <c r="E17" i="2"/>
  <c r="D17" i="2"/>
  <c r="I17" i="1"/>
  <c r="D75" i="2"/>
  <c r="F75" i="2"/>
  <c r="C74" i="5"/>
  <c r="C75" i="2"/>
  <c r="G75" i="2"/>
  <c r="F111" i="2"/>
  <c r="G31" i="2"/>
  <c r="C31" i="2"/>
  <c r="C30" i="5"/>
  <c r="D31" i="2"/>
  <c r="I31" i="1"/>
  <c r="E31" i="2"/>
  <c r="C134" i="2"/>
  <c r="F135" i="2"/>
  <c r="G40" i="2"/>
  <c r="C34" i="5"/>
  <c r="I28" i="1"/>
  <c r="G101" i="2"/>
  <c r="D101" i="2"/>
  <c r="C100" i="5"/>
  <c r="C101" i="2"/>
  <c r="E101" i="2"/>
  <c r="C93" i="5"/>
  <c r="D94" i="2"/>
  <c r="C94" i="2"/>
  <c r="F94" i="2"/>
  <c r="D84" i="2"/>
  <c r="F84" i="2"/>
  <c r="C83" i="5"/>
  <c r="D45" i="2"/>
  <c r="I45" i="1"/>
  <c r="C45" i="2"/>
  <c r="E45" i="2"/>
  <c r="C44" i="5"/>
  <c r="C134" i="5"/>
  <c r="F50" i="2"/>
  <c r="F108" i="2"/>
  <c r="C108" i="2"/>
  <c r="E108" i="2"/>
  <c r="G108" i="2"/>
  <c r="D108" i="2"/>
  <c r="C93" i="2"/>
  <c r="F93" i="2"/>
  <c r="G93" i="2"/>
  <c r="F83" i="2"/>
  <c r="C82" i="5"/>
  <c r="F78" i="2"/>
  <c r="G78" i="2"/>
  <c r="E78" i="2"/>
  <c r="E52" i="2"/>
  <c r="C51" i="5"/>
  <c r="D51" i="5" s="1"/>
  <c r="F52" i="2"/>
  <c r="I53" i="1"/>
  <c r="C52" i="2"/>
  <c r="G52" i="2"/>
  <c r="C22" i="5"/>
  <c r="D23" i="5" s="1"/>
  <c r="E23" i="2"/>
  <c r="I23" i="1"/>
  <c r="C39" i="5"/>
  <c r="C40" i="2"/>
  <c r="I40" i="1"/>
  <c r="D50" i="2"/>
  <c r="I51" i="1"/>
  <c r="C70" i="5"/>
  <c r="C49" i="5"/>
  <c r="F81" i="2"/>
  <c r="D102" i="2"/>
  <c r="E102" i="2"/>
  <c r="G102" i="2"/>
  <c r="F102" i="2"/>
  <c r="C101" i="5"/>
  <c r="C91" i="5"/>
  <c r="D92" i="2"/>
  <c r="F92" i="2"/>
  <c r="G55" i="2"/>
  <c r="I55" i="1"/>
  <c r="E55" i="2"/>
  <c r="D55" i="2"/>
  <c r="C22" i="2"/>
  <c r="C21" i="5"/>
  <c r="F22" i="2"/>
  <c r="E70" i="2"/>
  <c r="D70" i="2"/>
  <c r="C69" i="5"/>
  <c r="F70" i="2"/>
  <c r="C70" i="2"/>
  <c r="H139" i="1"/>
  <c r="H148" i="1"/>
  <c r="F148" i="2" s="1"/>
  <c r="G109" i="2"/>
  <c r="C115" i="5"/>
  <c r="C61" i="2"/>
  <c r="C94" i="8"/>
  <c r="D221" i="1" s="1"/>
  <c r="C86" i="8"/>
  <c r="D213" i="1" s="1"/>
  <c r="C93" i="8"/>
  <c r="D220" i="1" s="1"/>
  <c r="C85" i="8"/>
  <c r="D212" i="1" s="1"/>
  <c r="C87" i="8"/>
  <c r="D214" i="1" s="1"/>
  <c r="C92" i="8"/>
  <c r="D219" i="1" s="1"/>
  <c r="C84" i="8"/>
  <c r="D211" i="1" s="1"/>
  <c r="C91" i="8"/>
  <c r="D218" i="1" s="1"/>
  <c r="C83" i="8"/>
  <c r="C90" i="8"/>
  <c r="D217" i="1" s="1"/>
  <c r="C89" i="8"/>
  <c r="D216" i="1" s="1"/>
  <c r="C74" i="8"/>
  <c r="C32" i="8"/>
  <c r="C48" i="8"/>
  <c r="C34" i="8"/>
  <c r="C64" i="8"/>
  <c r="C49" i="8"/>
  <c r="C73" i="8"/>
  <c r="C31" i="8"/>
  <c r="C60" i="8"/>
  <c r="C42" i="8"/>
  <c r="C72" i="8"/>
  <c r="C33" i="8"/>
  <c r="C28" i="8"/>
  <c r="D167" i="1" s="1"/>
  <c r="C62" i="8"/>
  <c r="C56" i="8"/>
  <c r="C43" i="8"/>
  <c r="C79" i="8"/>
  <c r="D209" i="1" s="1"/>
  <c r="C71" i="8"/>
  <c r="D201" i="1" s="1"/>
  <c r="C39" i="8"/>
  <c r="C46" i="8"/>
  <c r="C47" i="8"/>
  <c r="C58" i="8"/>
  <c r="C44" i="8"/>
  <c r="C29" i="8"/>
  <c r="D168" i="1" s="1"/>
  <c r="C78" i="8"/>
  <c r="D208" i="1" s="1"/>
  <c r="C70" i="8"/>
  <c r="D200" i="1" s="1"/>
  <c r="C41" i="8"/>
  <c r="C30" i="8"/>
  <c r="D169" i="1" s="1"/>
  <c r="C23" i="8"/>
  <c r="D162" i="1" s="1"/>
  <c r="C38" i="8"/>
  <c r="C54" i="8"/>
  <c r="C63" i="8"/>
  <c r="C27" i="8"/>
  <c r="D166" i="1" s="1"/>
  <c r="C40" i="8"/>
  <c r="C61" i="8"/>
  <c r="H163" i="1"/>
  <c r="D160" i="1" s="1"/>
  <c r="C57" i="8"/>
  <c r="C53" i="8"/>
  <c r="C77" i="8"/>
  <c r="D207" i="1" s="1"/>
  <c r="C59" i="8"/>
  <c r="C69" i="8"/>
  <c r="C68" i="8"/>
  <c r="C76" i="8"/>
  <c r="D206" i="1" s="1"/>
  <c r="C45" i="8"/>
  <c r="C75" i="8"/>
  <c r="C55" i="8"/>
  <c r="J9" i="8"/>
  <c r="I9" i="8"/>
  <c r="D67" i="5"/>
  <c r="D97" i="5"/>
  <c r="D107" i="5"/>
  <c r="E138" i="2" l="1"/>
  <c r="C156" i="2"/>
  <c r="C154" i="5"/>
  <c r="G112" i="2"/>
  <c r="D104" i="5"/>
  <c r="G114" i="2"/>
  <c r="I78" i="1"/>
  <c r="C114" i="2"/>
  <c r="D112" i="5"/>
  <c r="C155" i="5"/>
  <c r="D156" i="5" s="1"/>
  <c r="C149" i="5"/>
  <c r="E156" i="2"/>
  <c r="D117" i="2"/>
  <c r="E118" i="2"/>
  <c r="F144" i="2"/>
  <c r="I76" i="1"/>
  <c r="C143" i="5"/>
  <c r="F118" i="2"/>
  <c r="C146" i="2"/>
  <c r="F114" i="2"/>
  <c r="D146" i="2"/>
  <c r="F156" i="2"/>
  <c r="C118" i="2"/>
  <c r="H127" i="2"/>
  <c r="I83" i="1"/>
  <c r="C117" i="5"/>
  <c r="E155" i="2"/>
  <c r="D112" i="2"/>
  <c r="D114" i="2"/>
  <c r="D144" i="2"/>
  <c r="G153" i="2"/>
  <c r="C155" i="2"/>
  <c r="C113" i="5"/>
  <c r="D113" i="5" s="1"/>
  <c r="I79" i="1"/>
  <c r="G155" i="2"/>
  <c r="E159" i="2"/>
  <c r="C144" i="2"/>
  <c r="G144" i="2"/>
  <c r="F146" i="2"/>
  <c r="C142" i="5"/>
  <c r="D156" i="2"/>
  <c r="F112" i="2"/>
  <c r="D118" i="2"/>
  <c r="D146" i="5"/>
  <c r="E112" i="2"/>
  <c r="E145" i="2"/>
  <c r="D153" i="2"/>
  <c r="F153" i="2"/>
  <c r="C144" i="5"/>
  <c r="D145" i="5" s="1"/>
  <c r="C112" i="2"/>
  <c r="I77" i="1"/>
  <c r="D126" i="5"/>
  <c r="D155" i="2"/>
  <c r="G146" i="2"/>
  <c r="C148" i="5"/>
  <c r="E151" i="2"/>
  <c r="E146" i="2"/>
  <c r="G151" i="2"/>
  <c r="F159" i="2"/>
  <c r="F117" i="2"/>
  <c r="G117" i="2"/>
  <c r="E117" i="2"/>
  <c r="D13" i="5"/>
  <c r="E110" i="2"/>
  <c r="C117" i="2"/>
  <c r="D100" i="5"/>
  <c r="C116" i="5"/>
  <c r="D116" i="5" s="1"/>
  <c r="E153" i="2"/>
  <c r="H68" i="2"/>
  <c r="D110" i="2"/>
  <c r="C109" i="5"/>
  <c r="E110" i="5" s="1"/>
  <c r="I82" i="1"/>
  <c r="C158" i="2"/>
  <c r="G110" i="2"/>
  <c r="C157" i="5"/>
  <c r="D157" i="5" s="1"/>
  <c r="C110" i="2"/>
  <c r="G150" i="2"/>
  <c r="D149" i="2"/>
  <c r="C159" i="2"/>
  <c r="C150" i="2"/>
  <c r="G149" i="2"/>
  <c r="C150" i="5"/>
  <c r="D150" i="5" s="1"/>
  <c r="G145" i="2"/>
  <c r="C145" i="2"/>
  <c r="C149" i="2"/>
  <c r="D150" i="2"/>
  <c r="E149" i="2"/>
  <c r="D159" i="2"/>
  <c r="E150" i="2"/>
  <c r="F142" i="2"/>
  <c r="G159" i="2"/>
  <c r="F145" i="2"/>
  <c r="D64" i="5"/>
  <c r="C141" i="5"/>
  <c r="G142" i="2"/>
  <c r="C131" i="5"/>
  <c r="D132" i="5" s="1"/>
  <c r="D142" i="2"/>
  <c r="D42" i="5"/>
  <c r="D125" i="2"/>
  <c r="F154" i="2"/>
  <c r="C142" i="2"/>
  <c r="G132" i="2"/>
  <c r="E147" i="2"/>
  <c r="F132" i="2"/>
  <c r="F125" i="2"/>
  <c r="C124" i="5"/>
  <c r="D125" i="5" s="1"/>
  <c r="C132" i="2"/>
  <c r="E132" i="2"/>
  <c r="E125" i="2"/>
  <c r="G125" i="2"/>
  <c r="D143" i="2"/>
  <c r="E143" i="2"/>
  <c r="G143" i="2"/>
  <c r="H97" i="2"/>
  <c r="H67" i="2"/>
  <c r="F143" i="2"/>
  <c r="D14" i="5"/>
  <c r="G138" i="2"/>
  <c r="H47" i="2"/>
  <c r="D54" i="5"/>
  <c r="C153" i="2"/>
  <c r="H69" i="2"/>
  <c r="C135" i="5"/>
  <c r="D135" i="5" s="1"/>
  <c r="F136" i="2"/>
  <c r="D127" i="5"/>
  <c r="F158" i="2"/>
  <c r="F147" i="2"/>
  <c r="D96" i="5"/>
  <c r="C153" i="5"/>
  <c r="D153" i="5" s="1"/>
  <c r="E154" i="2"/>
  <c r="G123" i="2"/>
  <c r="D136" i="2"/>
  <c r="D158" i="2"/>
  <c r="C147" i="2"/>
  <c r="H96" i="2"/>
  <c r="E158" i="2"/>
  <c r="D147" i="2"/>
  <c r="C136" i="2"/>
  <c r="E136" i="2"/>
  <c r="G147" i="2"/>
  <c r="D69" i="5"/>
  <c r="G103" i="2"/>
  <c r="E103" i="2"/>
  <c r="F103" i="2"/>
  <c r="D105" i="5"/>
  <c r="D43" i="5"/>
  <c r="H64" i="2"/>
  <c r="D103" i="2"/>
  <c r="H19" i="2"/>
  <c r="H116" i="2"/>
  <c r="D20" i="5"/>
  <c r="D89" i="5"/>
  <c r="D88" i="5"/>
  <c r="D33" i="5"/>
  <c r="E140" i="2"/>
  <c r="C140" i="2"/>
  <c r="G140" i="2"/>
  <c r="C139" i="5"/>
  <c r="D140" i="5" s="1"/>
  <c r="F140" i="2"/>
  <c r="D140" i="2"/>
  <c r="C102" i="5"/>
  <c r="D103" i="5" s="1"/>
  <c r="H14" i="2"/>
  <c r="G141" i="2"/>
  <c r="D141" i="2"/>
  <c r="E141" i="2"/>
  <c r="C141" i="2"/>
  <c r="F141" i="2"/>
  <c r="C151" i="2"/>
  <c r="D151" i="2"/>
  <c r="H121" i="2"/>
  <c r="F138" i="2"/>
  <c r="G154" i="2"/>
  <c r="C138" i="2"/>
  <c r="D34" i="5"/>
  <c r="C154" i="2"/>
  <c r="D138" i="2"/>
  <c r="H21" i="2"/>
  <c r="C123" i="2"/>
  <c r="H57" i="2"/>
  <c r="H32" i="2"/>
  <c r="D27" i="5"/>
  <c r="D115" i="5"/>
  <c r="H40" i="2"/>
  <c r="D84" i="5"/>
  <c r="D21" i="5"/>
  <c r="E92" i="5"/>
  <c r="H17" i="2"/>
  <c r="D45" i="5"/>
  <c r="C129" i="5"/>
  <c r="D130" i="5" s="1"/>
  <c r="E68" i="5"/>
  <c r="H128" i="2"/>
  <c r="H26" i="2"/>
  <c r="H91" i="2"/>
  <c r="H89" i="2"/>
  <c r="H16" i="2"/>
  <c r="H33" i="2"/>
  <c r="H28" i="2"/>
  <c r="D59" i="5"/>
  <c r="H36" i="2"/>
  <c r="H51" i="2"/>
  <c r="H34" i="2"/>
  <c r="H115" i="2"/>
  <c r="D15" i="5"/>
  <c r="D63" i="5"/>
  <c r="H39" i="2"/>
  <c r="D82" i="5"/>
  <c r="H10" i="2"/>
  <c r="D66" i="5"/>
  <c r="D44" i="5"/>
  <c r="H135" i="2"/>
  <c r="D29" i="5"/>
  <c r="F123" i="2"/>
  <c r="H63" i="2"/>
  <c r="H53" i="2"/>
  <c r="D91" i="5"/>
  <c r="C122" i="5"/>
  <c r="H44" i="2"/>
  <c r="D74" i="5"/>
  <c r="H12" i="2"/>
  <c r="H105" i="2"/>
  <c r="D65" i="5"/>
  <c r="D55" i="5"/>
  <c r="D130" i="2"/>
  <c r="D123" i="2"/>
  <c r="H20" i="2"/>
  <c r="D90" i="5"/>
  <c r="H92" i="2"/>
  <c r="D39" i="5"/>
  <c r="I88" i="1"/>
  <c r="G122" i="2"/>
  <c r="H100" i="2"/>
  <c r="H65" i="2"/>
  <c r="H98" i="2"/>
  <c r="H113" i="2"/>
  <c r="H37" i="2"/>
  <c r="F122" i="2"/>
  <c r="H88" i="2"/>
  <c r="H29" i="2"/>
  <c r="H43" i="2"/>
  <c r="D32" i="5"/>
  <c r="H120" i="2"/>
  <c r="H62" i="2"/>
  <c r="D48" i="5"/>
  <c r="H134" i="2"/>
  <c r="H59" i="2"/>
  <c r="H157" i="2"/>
  <c r="D134" i="5"/>
  <c r="E122" i="2"/>
  <c r="H73" i="2"/>
  <c r="H133" i="2"/>
  <c r="H56" i="2"/>
  <c r="H104" i="2"/>
  <c r="H58" i="2"/>
  <c r="H85" i="2"/>
  <c r="E62" i="5"/>
  <c r="H94" i="2"/>
  <c r="E130" i="2"/>
  <c r="H41" i="2"/>
  <c r="H81" i="2"/>
  <c r="H74" i="2"/>
  <c r="H48" i="2"/>
  <c r="H119" i="2"/>
  <c r="H106" i="2"/>
  <c r="E14" i="5"/>
  <c r="H72" i="2"/>
  <c r="H11" i="2"/>
  <c r="H84" i="2"/>
  <c r="C99" i="2"/>
  <c r="H60" i="2"/>
  <c r="D119" i="5"/>
  <c r="H49" i="2"/>
  <c r="H25" i="2"/>
  <c r="D108" i="5"/>
  <c r="H77" i="2"/>
  <c r="D99" i="2"/>
  <c r="D17" i="5"/>
  <c r="C98" i="5"/>
  <c r="D98" i="5" s="1"/>
  <c r="E77" i="5"/>
  <c r="H95" i="2"/>
  <c r="E20" i="5"/>
  <c r="H93" i="2"/>
  <c r="H22" i="2"/>
  <c r="C129" i="2"/>
  <c r="E99" i="2"/>
  <c r="D93" i="5"/>
  <c r="E129" i="2"/>
  <c r="C130" i="2"/>
  <c r="G99" i="2"/>
  <c r="D38" i="5"/>
  <c r="H13" i="2"/>
  <c r="H52" i="2"/>
  <c r="H90" i="2"/>
  <c r="H23" i="2"/>
  <c r="F129" i="2"/>
  <c r="G130" i="2"/>
  <c r="I98" i="1"/>
  <c r="G86" i="2"/>
  <c r="E86" i="2"/>
  <c r="F86" i="2"/>
  <c r="C85" i="5"/>
  <c r="D85" i="5" s="1"/>
  <c r="D86" i="2"/>
  <c r="F38" i="5"/>
  <c r="H61" i="2"/>
  <c r="E71" i="5"/>
  <c r="D122" i="2"/>
  <c r="C86" i="2"/>
  <c r="D10" i="5"/>
  <c r="D53" i="5"/>
  <c r="E95" i="5"/>
  <c r="D133" i="5"/>
  <c r="C121" i="5"/>
  <c r="D11" i="5"/>
  <c r="D75" i="5"/>
  <c r="D12" i="5"/>
  <c r="D106" i="5"/>
  <c r="D83" i="5"/>
  <c r="D111" i="5"/>
  <c r="H76" i="2"/>
  <c r="I87" i="1"/>
  <c r="C128" i="5"/>
  <c r="I86" i="1"/>
  <c r="E41" i="5"/>
  <c r="E65" i="5"/>
  <c r="D73" i="5"/>
  <c r="H82" i="2"/>
  <c r="H80" i="2"/>
  <c r="H27" i="2"/>
  <c r="H18" i="2"/>
  <c r="D40" i="5"/>
  <c r="H79" i="2"/>
  <c r="H24" i="2"/>
  <c r="E80" i="5"/>
  <c r="H55" i="2"/>
  <c r="H71" i="2"/>
  <c r="D120" i="5"/>
  <c r="D72" i="5"/>
  <c r="D25" i="5"/>
  <c r="E29" i="5"/>
  <c r="D41" i="5"/>
  <c r="E56" i="5"/>
  <c r="E35" i="5"/>
  <c r="D28" i="5"/>
  <c r="F20" i="5"/>
  <c r="D101" i="5"/>
  <c r="E53" i="5"/>
  <c r="H126" i="2"/>
  <c r="H35" i="2"/>
  <c r="D129" i="2"/>
  <c r="D18" i="5"/>
  <c r="F62" i="5"/>
  <c r="H15" i="2"/>
  <c r="D77" i="5"/>
  <c r="H109" i="2"/>
  <c r="H102" i="2"/>
  <c r="E32" i="5"/>
  <c r="H46" i="2"/>
  <c r="E59" i="5"/>
  <c r="H66" i="2"/>
  <c r="H54" i="2"/>
  <c r="H30" i="2"/>
  <c r="H42" i="2"/>
  <c r="F44" i="5"/>
  <c r="F68" i="5"/>
  <c r="G50" i="5"/>
  <c r="E74" i="5"/>
  <c r="E47" i="5"/>
  <c r="H78" i="2"/>
  <c r="H108" i="2"/>
  <c r="H45" i="2"/>
  <c r="H75" i="2"/>
  <c r="H111" i="2"/>
  <c r="D60" i="5"/>
  <c r="F50" i="5"/>
  <c r="F74" i="5"/>
  <c r="D46" i="5"/>
  <c r="E50" i="5"/>
  <c r="D76" i="5"/>
  <c r="H70" i="2"/>
  <c r="F26" i="5"/>
  <c r="E17" i="5"/>
  <c r="D47" i="5"/>
  <c r="H50" i="2"/>
  <c r="D52" i="5"/>
  <c r="H131" i="2"/>
  <c r="H38" i="2"/>
  <c r="E152" i="2"/>
  <c r="C151" i="5"/>
  <c r="C152" i="2"/>
  <c r="D152" i="2"/>
  <c r="G152" i="2"/>
  <c r="D210" i="1"/>
  <c r="D139" i="2"/>
  <c r="C138" i="5"/>
  <c r="E139" i="2"/>
  <c r="G139" i="2"/>
  <c r="C139" i="2"/>
  <c r="D50" i="5"/>
  <c r="H137" i="1"/>
  <c r="E137" i="2" s="1"/>
  <c r="D94" i="5"/>
  <c r="H101" i="2"/>
  <c r="F56" i="5"/>
  <c r="E23" i="5"/>
  <c r="E44" i="5"/>
  <c r="D35" i="5"/>
  <c r="H83" i="2"/>
  <c r="D80" i="5"/>
  <c r="D81" i="5"/>
  <c r="D49" i="5"/>
  <c r="G62" i="5"/>
  <c r="D70" i="5"/>
  <c r="D71" i="5"/>
  <c r="E26" i="5"/>
  <c r="F80" i="5"/>
  <c r="E38" i="5"/>
  <c r="E83" i="5"/>
  <c r="F32" i="5"/>
  <c r="G38" i="5"/>
  <c r="D22" i="5"/>
  <c r="D37" i="5"/>
  <c r="G74" i="5"/>
  <c r="C148" i="2"/>
  <c r="G148" i="2"/>
  <c r="E148" i="2"/>
  <c r="C147" i="5"/>
  <c r="D148" i="2"/>
  <c r="D92" i="5"/>
  <c r="D31" i="5"/>
  <c r="D30" i="5"/>
  <c r="H107" i="2"/>
  <c r="C124" i="2"/>
  <c r="D124" i="2"/>
  <c r="E124" i="2"/>
  <c r="G124" i="2"/>
  <c r="C123" i="5"/>
  <c r="F139" i="2"/>
  <c r="H31" i="2"/>
  <c r="E87" i="2"/>
  <c r="C86" i="5"/>
  <c r="I99" i="1"/>
  <c r="G87" i="2"/>
  <c r="D87" i="2"/>
  <c r="F87" i="2"/>
  <c r="F124" i="2"/>
  <c r="E6" i="4"/>
  <c r="D161" i="2"/>
  <c r="C160" i="1"/>
  <c r="F160" i="1"/>
  <c r="G160" i="1"/>
  <c r="E160" i="1"/>
  <c r="C160" i="5"/>
  <c r="M13" i="8"/>
  <c r="H156" i="2" l="1"/>
  <c r="D155" i="5"/>
  <c r="H114" i="2"/>
  <c r="D149" i="5"/>
  <c r="H118" i="2"/>
  <c r="D144" i="5"/>
  <c r="D142" i="5"/>
  <c r="D117" i="5"/>
  <c r="H158" i="2"/>
  <c r="H155" i="2"/>
  <c r="D109" i="5"/>
  <c r="H144" i="2"/>
  <c r="E113" i="5"/>
  <c r="E158" i="5"/>
  <c r="D158" i="5"/>
  <c r="D154" i="5"/>
  <c r="H112" i="2"/>
  <c r="D110" i="5"/>
  <c r="E116" i="5"/>
  <c r="D114" i="5"/>
  <c r="D118" i="5"/>
  <c r="E146" i="5"/>
  <c r="E119" i="5"/>
  <c r="H146" i="2"/>
  <c r="D129" i="5"/>
  <c r="H153" i="2"/>
  <c r="H132" i="2"/>
  <c r="D143" i="5"/>
  <c r="H110" i="2"/>
  <c r="H240" i="1"/>
  <c r="D131" i="5"/>
  <c r="H117" i="2"/>
  <c r="D141" i="5"/>
  <c r="F116" i="5"/>
  <c r="H145" i="2"/>
  <c r="D148" i="5"/>
  <c r="H237" i="1"/>
  <c r="H150" i="2"/>
  <c r="H244" i="1"/>
  <c r="H159" i="2"/>
  <c r="E143" i="5"/>
  <c r="H242" i="1"/>
  <c r="H236" i="1"/>
  <c r="H234" i="1"/>
  <c r="H235" i="1"/>
  <c r="H241" i="1"/>
  <c r="H239" i="1"/>
  <c r="H245" i="1"/>
  <c r="H243" i="1"/>
  <c r="H149" i="2"/>
  <c r="H238" i="1"/>
  <c r="H232" i="1"/>
  <c r="H103" i="2"/>
  <c r="H147" i="2"/>
  <c r="H143" i="2"/>
  <c r="H125" i="2"/>
  <c r="H142" i="2"/>
  <c r="F122" i="5"/>
  <c r="E134" i="5"/>
  <c r="H233" i="1"/>
  <c r="H154" i="2"/>
  <c r="H223" i="1"/>
  <c r="H225" i="1"/>
  <c r="H136" i="2"/>
  <c r="H229" i="1"/>
  <c r="H227" i="1"/>
  <c r="H230" i="1"/>
  <c r="H228" i="1"/>
  <c r="H224" i="1"/>
  <c r="H140" i="2"/>
  <c r="H231" i="1"/>
  <c r="H151" i="2"/>
  <c r="D128" i="5"/>
  <c r="H221" i="1"/>
  <c r="H214" i="1"/>
  <c r="H218" i="1"/>
  <c r="E107" i="5"/>
  <c r="H138" i="2"/>
  <c r="H216" i="1"/>
  <c r="H212" i="1"/>
  <c r="H141" i="2"/>
  <c r="H219" i="1"/>
  <c r="H110" i="5"/>
  <c r="D102" i="5"/>
  <c r="F110" i="5"/>
  <c r="H213" i="1"/>
  <c r="E104" i="5"/>
  <c r="H220" i="1"/>
  <c r="H217" i="1"/>
  <c r="H98" i="5"/>
  <c r="H123" i="2"/>
  <c r="H130" i="2"/>
  <c r="H129" i="2"/>
  <c r="E122" i="5"/>
  <c r="H122" i="5"/>
  <c r="D99" i="5"/>
  <c r="E101" i="5"/>
  <c r="G110" i="5"/>
  <c r="G122" i="5"/>
  <c r="E98" i="5"/>
  <c r="F104" i="5"/>
  <c r="F98" i="5"/>
  <c r="H122" i="2"/>
  <c r="H99" i="2"/>
  <c r="E131" i="5"/>
  <c r="H87" i="2"/>
  <c r="H162" i="1"/>
  <c r="C159" i="5" s="1"/>
  <c r="D160" i="5" s="1"/>
  <c r="H86" i="2"/>
  <c r="D121" i="5"/>
  <c r="D122" i="5"/>
  <c r="D152" i="5"/>
  <c r="E155" i="5"/>
  <c r="D151" i="5"/>
  <c r="H207" i="1"/>
  <c r="F205" i="2" s="1"/>
  <c r="H152" i="2"/>
  <c r="D86" i="5"/>
  <c r="E86" i="5"/>
  <c r="F92" i="5"/>
  <c r="E89" i="5"/>
  <c r="G86" i="5"/>
  <c r="D87" i="5"/>
  <c r="H124" i="2"/>
  <c r="D139" i="5"/>
  <c r="D138" i="5"/>
  <c r="H210" i="1"/>
  <c r="H148" i="2"/>
  <c r="F86" i="5"/>
  <c r="F137" i="2"/>
  <c r="G137" i="2"/>
  <c r="C137" i="2"/>
  <c r="D137" i="2"/>
  <c r="C136" i="5"/>
  <c r="G158" i="5" s="1"/>
  <c r="E152" i="5"/>
  <c r="E149" i="5"/>
  <c r="H158" i="5"/>
  <c r="F152" i="5"/>
  <c r="D147" i="5"/>
  <c r="F158" i="5"/>
  <c r="D123" i="5"/>
  <c r="D124" i="5"/>
  <c r="E125" i="5"/>
  <c r="G134" i="5"/>
  <c r="F128" i="5"/>
  <c r="F134" i="5"/>
  <c r="H134" i="5"/>
  <c r="G98" i="5"/>
  <c r="H139" i="2"/>
  <c r="E128" i="5"/>
  <c r="F161" i="2"/>
  <c r="E12" i="4"/>
  <c r="C161" i="2"/>
  <c r="H169" i="1"/>
  <c r="C167" i="2" s="1"/>
  <c r="H174" i="1"/>
  <c r="F172" i="2" s="1"/>
  <c r="E5" i="4"/>
  <c r="H175" i="1"/>
  <c r="F173" i="2" s="1"/>
  <c r="H190" i="1"/>
  <c r="C188" i="2" s="1"/>
  <c r="H177" i="1"/>
  <c r="E175" i="2" s="1"/>
  <c r="H195" i="1"/>
  <c r="C193" i="2" s="1"/>
  <c r="H183" i="1"/>
  <c r="G181" i="2" s="1"/>
  <c r="H189" i="1"/>
  <c r="E187" i="2" s="1"/>
  <c r="H187" i="1"/>
  <c r="G185" i="2" s="1"/>
  <c r="H198" i="1"/>
  <c r="C196" i="2" s="1"/>
  <c r="H171" i="1"/>
  <c r="E169" i="2" s="1"/>
  <c r="H179" i="1"/>
  <c r="G177" i="2" s="1"/>
  <c r="H188" i="1"/>
  <c r="G186" i="2" s="1"/>
  <c r="H194" i="1"/>
  <c r="E192" i="2" s="1"/>
  <c r="H182" i="1"/>
  <c r="C180" i="2" s="1"/>
  <c r="H197" i="1"/>
  <c r="G195" i="2" s="1"/>
  <c r="H180" i="1"/>
  <c r="F178" i="2" s="1"/>
  <c r="H173" i="1"/>
  <c r="G171" i="2" s="1"/>
  <c r="H181" i="1"/>
  <c r="C179" i="2" s="1"/>
  <c r="H170" i="1"/>
  <c r="G168" i="2" s="1"/>
  <c r="H166" i="1"/>
  <c r="E164" i="2" s="1"/>
  <c r="H184" i="1"/>
  <c r="E182" i="2" s="1"/>
  <c r="H191" i="1"/>
  <c r="H203" i="1"/>
  <c r="E201" i="2" s="1"/>
  <c r="H176" i="1"/>
  <c r="F174" i="2" s="1"/>
  <c r="H178" i="1"/>
  <c r="F176" i="2" s="1"/>
  <c r="H204" i="1"/>
  <c r="E202" i="2" s="1"/>
  <c r="H193" i="1"/>
  <c r="E191" i="2" s="1"/>
  <c r="H196" i="1"/>
  <c r="F194" i="2" s="1"/>
  <c r="H199" i="1"/>
  <c r="F197" i="2" s="1"/>
  <c r="H172" i="1"/>
  <c r="G170" i="2" s="1"/>
  <c r="H186" i="1"/>
  <c r="H185" i="1"/>
  <c r="C183" i="2" s="1"/>
  <c r="H202" i="1"/>
  <c r="G200" i="2" s="1"/>
  <c r="H192" i="1"/>
  <c r="E190" i="2" s="1"/>
  <c r="H168" i="1"/>
  <c r="H200" i="1"/>
  <c r="H206" i="1"/>
  <c r="H165" i="1"/>
  <c r="H201" i="1"/>
  <c r="H205" i="1"/>
  <c r="H164" i="1"/>
  <c r="H167" i="1"/>
  <c r="L14" i="8"/>
  <c r="I14" i="8"/>
  <c r="K14" i="8"/>
  <c r="J14" i="8"/>
  <c r="H14" i="8"/>
  <c r="E10" i="4"/>
  <c r="E161" i="2"/>
  <c r="E13" i="4"/>
  <c r="G161" i="2"/>
  <c r="H208" i="1"/>
  <c r="G180" i="2" l="1"/>
  <c r="D160" i="2"/>
  <c r="E160" i="2"/>
  <c r="C160" i="2"/>
  <c r="E185" i="2"/>
  <c r="C172" i="2"/>
  <c r="G172" i="2"/>
  <c r="E178" i="2"/>
  <c r="C205" i="2"/>
  <c r="G178" i="2"/>
  <c r="C185" i="2"/>
  <c r="G160" i="2"/>
  <c r="E193" i="2"/>
  <c r="D159" i="5"/>
  <c r="E172" i="2"/>
  <c r="G174" i="2"/>
  <c r="E174" i="2"/>
  <c r="C174" i="2"/>
  <c r="F160" i="2"/>
  <c r="G176" i="2"/>
  <c r="G188" i="2"/>
  <c r="E183" i="2"/>
  <c r="C202" i="2"/>
  <c r="E188" i="2"/>
  <c r="E180" i="2"/>
  <c r="G205" i="2"/>
  <c r="E181" i="2"/>
  <c r="E195" i="2"/>
  <c r="C194" i="2"/>
  <c r="G167" i="2"/>
  <c r="C204" i="5"/>
  <c r="C178" i="2"/>
  <c r="E205" i="2"/>
  <c r="D205" i="2"/>
  <c r="G187" i="2"/>
  <c r="G182" i="2"/>
  <c r="C169" i="2"/>
  <c r="E176" i="2"/>
  <c r="E171" i="2"/>
  <c r="C176" i="2"/>
  <c r="G169" i="2"/>
  <c r="G179" i="2"/>
  <c r="F193" i="2"/>
  <c r="C191" i="2"/>
  <c r="H137" i="2"/>
  <c r="G202" i="2"/>
  <c r="G190" i="2"/>
  <c r="E186" i="2"/>
  <c r="G194" i="2"/>
  <c r="E168" i="2"/>
  <c r="C201" i="2"/>
  <c r="F164" i="2"/>
  <c r="F188" i="2"/>
  <c r="G197" i="2"/>
  <c r="G192" i="2"/>
  <c r="F168" i="2"/>
  <c r="G193" i="2"/>
  <c r="E179" i="2"/>
  <c r="E194" i="2"/>
  <c r="F191" i="2"/>
  <c r="G164" i="2"/>
  <c r="E197" i="2"/>
  <c r="G191" i="2"/>
  <c r="G183" i="2"/>
  <c r="F183" i="2"/>
  <c r="G146" i="5"/>
  <c r="D137" i="5"/>
  <c r="F140" i="5"/>
  <c r="E137" i="5"/>
  <c r="D136" i="5"/>
  <c r="F146" i="5"/>
  <c r="H146" i="5"/>
  <c r="E140" i="5"/>
  <c r="E200" i="2"/>
  <c r="C188" i="5"/>
  <c r="D189" i="2"/>
  <c r="C171" i="2"/>
  <c r="C174" i="5"/>
  <c r="D175" i="2"/>
  <c r="G175" i="2"/>
  <c r="E170" i="2"/>
  <c r="E196" i="2"/>
  <c r="F202" i="2"/>
  <c r="C201" i="5"/>
  <c r="D202" i="2"/>
  <c r="C181" i="5"/>
  <c r="D182" i="2"/>
  <c r="C194" i="5"/>
  <c r="D195" i="2"/>
  <c r="C185" i="5"/>
  <c r="D186" i="2"/>
  <c r="C184" i="5"/>
  <c r="D185" i="2"/>
  <c r="C187" i="5"/>
  <c r="D188" i="2"/>
  <c r="F200" i="2"/>
  <c r="F192" i="2"/>
  <c r="C183" i="5"/>
  <c r="D184" i="2"/>
  <c r="E184" i="2"/>
  <c r="C200" i="5"/>
  <c r="D201" i="2"/>
  <c r="C189" i="2"/>
  <c r="C172" i="5"/>
  <c r="D173" i="2"/>
  <c r="F187" i="2"/>
  <c r="G196" i="2"/>
  <c r="E173" i="2"/>
  <c r="M14" i="8"/>
  <c r="C202" i="5"/>
  <c r="G203" i="2"/>
  <c r="F203" i="2"/>
  <c r="D203" i="2"/>
  <c r="C203" i="2"/>
  <c r="E203" i="2"/>
  <c r="C192" i="2"/>
  <c r="C196" i="5"/>
  <c r="D197" i="2"/>
  <c r="C195" i="2"/>
  <c r="C164" i="2"/>
  <c r="C163" i="5"/>
  <c r="D164" i="2"/>
  <c r="C182" i="2"/>
  <c r="C173" i="2"/>
  <c r="C180" i="5"/>
  <c r="D181" i="2"/>
  <c r="F185" i="2"/>
  <c r="F175" i="2"/>
  <c r="F167" i="2"/>
  <c r="D166" i="2"/>
  <c r="G166" i="2"/>
  <c r="C165" i="5"/>
  <c r="E166" i="2"/>
  <c r="F166" i="2"/>
  <c r="C166" i="2"/>
  <c r="C169" i="5"/>
  <c r="D170" i="2"/>
  <c r="C176" i="5"/>
  <c r="D177" i="2"/>
  <c r="G201" i="2"/>
  <c r="E177" i="2"/>
  <c r="E167" i="2"/>
  <c r="G199" i="2"/>
  <c r="C198" i="5"/>
  <c r="F199" i="2"/>
  <c r="D199" i="2"/>
  <c r="C199" i="2"/>
  <c r="C193" i="5"/>
  <c r="D194" i="2"/>
  <c r="C175" i="5"/>
  <c r="D176" i="2"/>
  <c r="C167" i="5"/>
  <c r="D168" i="2"/>
  <c r="C186" i="2"/>
  <c r="C168" i="5"/>
  <c r="D169" i="2"/>
  <c r="C181" i="2"/>
  <c r="F181" i="2"/>
  <c r="F201" i="2"/>
  <c r="F195" i="2"/>
  <c r="F182" i="2"/>
  <c r="D165" i="2"/>
  <c r="G165" i="2"/>
  <c r="C164" i="5"/>
  <c r="C165" i="2"/>
  <c r="F165" i="2"/>
  <c r="E165" i="2"/>
  <c r="D162" i="2"/>
  <c r="E162" i="2"/>
  <c r="G162" i="2"/>
  <c r="C162" i="2"/>
  <c r="F162" i="2"/>
  <c r="C161" i="5"/>
  <c r="C175" i="2"/>
  <c r="C170" i="2"/>
  <c r="C186" i="5"/>
  <c r="D187" i="2"/>
  <c r="F184" i="2"/>
  <c r="G184" i="2"/>
  <c r="D163" i="2"/>
  <c r="F163" i="2"/>
  <c r="C163" i="2"/>
  <c r="G163" i="2"/>
  <c r="C162" i="5"/>
  <c r="E163" i="2"/>
  <c r="C189" i="5"/>
  <c r="D190" i="2"/>
  <c r="C190" i="5"/>
  <c r="D191" i="2"/>
  <c r="C173" i="5"/>
  <c r="D174" i="2"/>
  <c r="C178" i="5"/>
  <c r="D179" i="2"/>
  <c r="C179" i="5"/>
  <c r="D180" i="2"/>
  <c r="C192" i="5"/>
  <c r="D193" i="2"/>
  <c r="C171" i="5"/>
  <c r="D172" i="2"/>
  <c r="F189" i="2"/>
  <c r="F190" i="2"/>
  <c r="F186" i="2"/>
  <c r="F180" i="2"/>
  <c r="F204" i="2"/>
  <c r="C204" i="2"/>
  <c r="D204" i="2"/>
  <c r="C203" i="5"/>
  <c r="G204" i="2"/>
  <c r="E204" i="2"/>
  <c r="C199" i="5"/>
  <c r="D200" i="2"/>
  <c r="C200" i="2"/>
  <c r="C170" i="5"/>
  <c r="D171" i="2"/>
  <c r="C191" i="5"/>
  <c r="D192" i="2"/>
  <c r="C195" i="5"/>
  <c r="D196" i="2"/>
  <c r="C166" i="5"/>
  <c r="D167" i="2"/>
  <c r="F170" i="2"/>
  <c r="F177" i="2"/>
  <c r="G189" i="2"/>
  <c r="G173" i="2"/>
  <c r="E189" i="2"/>
  <c r="C198" i="2"/>
  <c r="G198" i="2"/>
  <c r="F198" i="2"/>
  <c r="E198" i="2"/>
  <c r="C197" i="5"/>
  <c r="D198" i="2"/>
  <c r="C182" i="5"/>
  <c r="D183" i="2"/>
  <c r="C184" i="2"/>
  <c r="C197" i="2"/>
  <c r="C177" i="2"/>
  <c r="C177" i="5"/>
  <c r="D178" i="2"/>
  <c r="C190" i="2"/>
  <c r="C168" i="2"/>
  <c r="C187" i="2"/>
  <c r="H161" i="2"/>
  <c r="F179" i="2"/>
  <c r="F171" i="2"/>
  <c r="F196" i="2"/>
  <c r="F169" i="2"/>
  <c r="E199" i="2"/>
  <c r="C205" i="5"/>
  <c r="C206" i="2"/>
  <c r="G206" i="2"/>
  <c r="D206" i="2"/>
  <c r="E206" i="2"/>
  <c r="F206" i="2"/>
  <c r="H209" i="1"/>
  <c r="F207" i="2" s="1"/>
  <c r="H174" i="2" l="1"/>
  <c r="H172" i="2"/>
  <c r="H160" i="2"/>
  <c r="D197" i="5"/>
  <c r="H205" i="2"/>
  <c r="H202" i="2"/>
  <c r="D166" i="5"/>
  <c r="H188" i="2"/>
  <c r="H190" i="2"/>
  <c r="H176" i="2"/>
  <c r="H185" i="2"/>
  <c r="H191" i="2"/>
  <c r="H169" i="2"/>
  <c r="H178" i="2"/>
  <c r="H170" i="2"/>
  <c r="H167" i="2"/>
  <c r="D190" i="5"/>
  <c r="H193" i="2"/>
  <c r="H197" i="2"/>
  <c r="H184" i="2"/>
  <c r="H201" i="2"/>
  <c r="H194" i="2"/>
  <c r="H187" i="2"/>
  <c r="H196" i="2"/>
  <c r="H180" i="2"/>
  <c r="D164" i="5"/>
  <c r="D184" i="5"/>
  <c r="D182" i="5"/>
  <c r="H165" i="2"/>
  <c r="H183" i="2"/>
  <c r="H168" i="2"/>
  <c r="D163" i="5"/>
  <c r="H195" i="2"/>
  <c r="D203" i="5"/>
  <c r="D169" i="5"/>
  <c r="D194" i="5"/>
  <c r="E161" i="5"/>
  <c r="F164" i="5"/>
  <c r="D161" i="5"/>
  <c r="H170" i="5"/>
  <c r="G170" i="5"/>
  <c r="H173" i="2"/>
  <c r="H181" i="2"/>
  <c r="H166" i="2"/>
  <c r="D172" i="5"/>
  <c r="H171" i="2"/>
  <c r="F182" i="5"/>
  <c r="E179" i="5"/>
  <c r="D177" i="5"/>
  <c r="D191" i="5"/>
  <c r="H179" i="2"/>
  <c r="E191" i="5"/>
  <c r="D189" i="5"/>
  <c r="H162" i="2"/>
  <c r="D193" i="5"/>
  <c r="D202" i="5"/>
  <c r="H182" i="2"/>
  <c r="D195" i="5"/>
  <c r="F200" i="5"/>
  <c r="E197" i="5"/>
  <c r="D200" i="5"/>
  <c r="D199" i="5"/>
  <c r="H177" i="2"/>
  <c r="H189" i="2"/>
  <c r="D168" i="5"/>
  <c r="E170" i="5"/>
  <c r="D180" i="5"/>
  <c r="D196" i="5"/>
  <c r="D187" i="5"/>
  <c r="E182" i="5"/>
  <c r="D181" i="5"/>
  <c r="E176" i="5"/>
  <c r="D175" i="5"/>
  <c r="D179" i="5"/>
  <c r="D178" i="5"/>
  <c r="D170" i="5"/>
  <c r="E164" i="5"/>
  <c r="D162" i="5"/>
  <c r="H186" i="2"/>
  <c r="H199" i="2"/>
  <c r="F170" i="5"/>
  <c r="E167" i="5"/>
  <c r="D165" i="5"/>
  <c r="H192" i="2"/>
  <c r="D204" i="5"/>
  <c r="D188" i="5"/>
  <c r="D171" i="5"/>
  <c r="H182" i="5"/>
  <c r="G182" i="5"/>
  <c r="F176" i="5"/>
  <c r="D186" i="5"/>
  <c r="E188" i="5"/>
  <c r="D201" i="5"/>
  <c r="E203" i="5"/>
  <c r="H200" i="2"/>
  <c r="H198" i="2"/>
  <c r="H163" i="2"/>
  <c r="H164" i="2"/>
  <c r="H203" i="2"/>
  <c r="H204" i="2"/>
  <c r="E173" i="5"/>
  <c r="D173" i="5"/>
  <c r="D167" i="5"/>
  <c r="D176" i="5"/>
  <c r="F194" i="5"/>
  <c r="D192" i="5"/>
  <c r="E194" i="5"/>
  <c r="H175" i="2"/>
  <c r="D198" i="5"/>
  <c r="E200" i="5"/>
  <c r="G194" i="5"/>
  <c r="E185" i="5"/>
  <c r="H194" i="5"/>
  <c r="D183" i="5"/>
  <c r="F188" i="5"/>
  <c r="D185" i="5"/>
  <c r="D174" i="5"/>
  <c r="E207" i="2"/>
  <c r="H206" i="2"/>
  <c r="F208" i="2"/>
  <c r="D205" i="5"/>
  <c r="C207" i="2"/>
  <c r="C206" i="5"/>
  <c r="D206" i="5" s="1"/>
  <c r="G207" i="2"/>
  <c r="D207" i="2"/>
  <c r="G206" i="5" l="1"/>
  <c r="E206" i="5"/>
  <c r="F206" i="5"/>
  <c r="H206" i="5"/>
  <c r="C207" i="5"/>
  <c r="C208" i="2"/>
  <c r="G208" i="2"/>
  <c r="D208" i="2"/>
  <c r="H207" i="2"/>
  <c r="H211" i="1"/>
  <c r="F209" i="2" s="1"/>
  <c r="E208" i="2"/>
  <c r="H208" i="2" l="1"/>
  <c r="D207" i="5"/>
  <c r="C208" i="5"/>
  <c r="D208" i="5" s="1"/>
  <c r="C209" i="2"/>
  <c r="D209" i="2"/>
  <c r="G209" i="2"/>
  <c r="E209" i="2"/>
  <c r="F211" i="2" l="1"/>
  <c r="H209" i="2"/>
  <c r="C209" i="5"/>
  <c r="C210" i="2"/>
  <c r="G210" i="2"/>
  <c r="D210" i="2"/>
  <c r="F210" i="2"/>
  <c r="E210" i="2"/>
  <c r="H210" i="2" l="1"/>
  <c r="C210" i="5"/>
  <c r="C211" i="2"/>
  <c r="D211" i="2"/>
  <c r="G211" i="2"/>
  <c r="D209" i="5"/>
  <c r="E209" i="5"/>
  <c r="E211" i="2"/>
  <c r="H211" i="2" l="1"/>
  <c r="D210" i="5"/>
  <c r="C211" i="5"/>
  <c r="C212" i="2"/>
  <c r="D212" i="2"/>
  <c r="G212" i="2"/>
  <c r="F212" i="2"/>
  <c r="H215" i="1"/>
  <c r="F213" i="2" s="1"/>
  <c r="E212" i="2"/>
  <c r="H212" i="2" l="1"/>
  <c r="D211" i="5"/>
  <c r="F214" i="2"/>
  <c r="C212" i="5"/>
  <c r="C213" i="2"/>
  <c r="G213" i="2"/>
  <c r="D213" i="2"/>
  <c r="E213" i="2"/>
  <c r="H213" i="2" l="1"/>
  <c r="C213" i="5"/>
  <c r="C214" i="2"/>
  <c r="G214" i="2"/>
  <c r="D214" i="2"/>
  <c r="E214" i="2"/>
  <c r="D212" i="5"/>
  <c r="F212" i="5"/>
  <c r="E212" i="5"/>
  <c r="C251" i="1" l="1"/>
  <c r="H214" i="2"/>
  <c r="D213" i="5"/>
  <c r="F216" i="2"/>
  <c r="C214" i="5"/>
  <c r="D214" i="5" s="1"/>
  <c r="C215" i="2"/>
  <c r="D215" i="2"/>
  <c r="G215" i="2"/>
  <c r="E215" i="2"/>
  <c r="F215" i="2"/>
  <c r="C249" i="1" l="1"/>
  <c r="C250" i="1"/>
  <c r="C254" i="1"/>
  <c r="H215" i="2"/>
  <c r="C215" i="5"/>
  <c r="C216" i="2"/>
  <c r="D216" i="2"/>
  <c r="G216" i="2"/>
  <c r="E216" i="2"/>
  <c r="C253" i="1" l="1"/>
  <c r="C257" i="1"/>
  <c r="C252" i="1"/>
  <c r="C216" i="5"/>
  <c r="C217" i="2"/>
  <c r="G217" i="2"/>
  <c r="D217" i="2"/>
  <c r="E217" i="2"/>
  <c r="E218" i="2"/>
  <c r="H216" i="2"/>
  <c r="D215" i="5"/>
  <c r="F217" i="2"/>
  <c r="E215" i="5"/>
  <c r="C255" i="1" l="1"/>
  <c r="C256" i="1"/>
  <c r="H222" i="1"/>
  <c r="C219" i="5" s="1"/>
  <c r="C217" i="5"/>
  <c r="C218" i="2"/>
  <c r="D218" i="2"/>
  <c r="G218" i="2"/>
  <c r="F218" i="2"/>
  <c r="H217" i="2"/>
  <c r="E219" i="2"/>
  <c r="D216" i="5"/>
  <c r="C260" i="1" l="1"/>
  <c r="C259" i="1"/>
  <c r="C258" i="1"/>
  <c r="C263" i="1"/>
  <c r="C220" i="2"/>
  <c r="G220" i="2"/>
  <c r="D220" i="2"/>
  <c r="F220" i="2"/>
  <c r="E220" i="2"/>
  <c r="C220" i="5"/>
  <c r="H218" i="2"/>
  <c r="D217" i="5"/>
  <c r="C218" i="5"/>
  <c r="F218" i="5" s="1"/>
  <c r="C219" i="2"/>
  <c r="D219" i="2"/>
  <c r="G219" i="2"/>
  <c r="F219" i="2"/>
  <c r="C262" i="1" l="1"/>
  <c r="C266" i="1"/>
  <c r="C261" i="1"/>
  <c r="D220" i="5"/>
  <c r="D219" i="5"/>
  <c r="C221" i="2"/>
  <c r="D221" i="2"/>
  <c r="G221" i="2"/>
  <c r="H220" i="2"/>
  <c r="F221" i="2"/>
  <c r="E221" i="2"/>
  <c r="H219" i="2"/>
  <c r="D218" i="5"/>
  <c r="G218" i="5"/>
  <c r="E218" i="5"/>
  <c r="H218" i="5"/>
  <c r="C265" i="1" l="1"/>
  <c r="C264" i="1"/>
  <c r="C269" i="1"/>
  <c r="E222" i="2"/>
  <c r="C221" i="5"/>
  <c r="C222" i="2"/>
  <c r="D222" i="2"/>
  <c r="G222" i="2"/>
  <c r="H221" i="2"/>
  <c r="F222" i="2"/>
  <c r="C222" i="5"/>
  <c r="C268" i="1" l="1"/>
  <c r="C267" i="1"/>
  <c r="H222" i="2"/>
  <c r="D221" i="5"/>
  <c r="E221" i="5"/>
  <c r="D222" i="5"/>
  <c r="C223" i="2"/>
  <c r="D223" i="2"/>
  <c r="G223" i="2"/>
  <c r="F223" i="2"/>
  <c r="E223" i="2"/>
  <c r="H226" i="1"/>
  <c r="C223" i="5" s="1"/>
  <c r="D223" i="5" s="1"/>
  <c r="C224" i="2" l="1"/>
  <c r="G224" i="2"/>
  <c r="D224" i="2"/>
  <c r="F224" i="2"/>
  <c r="E224" i="2"/>
  <c r="H223" i="2"/>
  <c r="C224" i="5"/>
  <c r="D224" i="5" l="1"/>
  <c r="E224" i="5"/>
  <c r="F224" i="5"/>
  <c r="C225" i="2"/>
  <c r="G225" i="2"/>
  <c r="D225" i="2"/>
  <c r="H224" i="2"/>
  <c r="E225" i="2"/>
  <c r="F225" i="2"/>
  <c r="E226" i="2" l="1"/>
  <c r="C225" i="5"/>
  <c r="F226" i="2"/>
  <c r="C226" i="2"/>
  <c r="D226" i="2"/>
  <c r="G226" i="2"/>
  <c r="H225" i="2"/>
  <c r="C226" i="5"/>
  <c r="D226" i="5" l="1"/>
  <c r="H226" i="2"/>
  <c r="D225" i="5"/>
  <c r="C227" i="2"/>
  <c r="G227" i="2"/>
  <c r="D227" i="2"/>
  <c r="F227" i="2"/>
  <c r="E227" i="2"/>
  <c r="C227" i="5"/>
  <c r="D227" i="5" s="1"/>
  <c r="E227" i="5" l="1"/>
  <c r="C228" i="2"/>
  <c r="G228" i="2"/>
  <c r="D228" i="2"/>
  <c r="H227" i="2"/>
  <c r="E228" i="2"/>
  <c r="F228" i="2"/>
  <c r="C228" i="5"/>
  <c r="D228" i="5" l="1"/>
  <c r="C229" i="2"/>
  <c r="G229" i="2"/>
  <c r="D229" i="2"/>
  <c r="E229" i="2"/>
  <c r="F229" i="2"/>
  <c r="H228" i="2"/>
  <c r="F230" i="2"/>
  <c r="F232" i="2" l="1"/>
  <c r="E230" i="2"/>
  <c r="C229" i="5"/>
  <c r="C230" i="2"/>
  <c r="G230" i="2"/>
  <c r="D230" i="2"/>
  <c r="H229" i="2"/>
  <c r="C231" i="5" l="1"/>
  <c r="C232" i="2"/>
  <c r="D232" i="2"/>
  <c r="G232" i="2"/>
  <c r="E232" i="2"/>
  <c r="H230" i="2"/>
  <c r="E231" i="2"/>
  <c r="C230" i="5"/>
  <c r="E230" i="5" s="1"/>
  <c r="D229" i="5"/>
  <c r="C231" i="2"/>
  <c r="G231" i="2"/>
  <c r="D231" i="2"/>
  <c r="F231" i="2"/>
  <c r="H232" i="2" l="1"/>
  <c r="C232" i="5"/>
  <c r="C233" i="2"/>
  <c r="D233" i="2"/>
  <c r="G233" i="2"/>
  <c r="D231" i="5"/>
  <c r="F233" i="2"/>
  <c r="E233" i="2"/>
  <c r="E234" i="2"/>
  <c r="F230" i="5"/>
  <c r="H230" i="5"/>
  <c r="D230" i="5"/>
  <c r="G230" i="5"/>
  <c r="H231" i="2"/>
  <c r="C233" i="5" l="1"/>
  <c r="D233" i="5" s="1"/>
  <c r="C234" i="2"/>
  <c r="D234" i="2"/>
  <c r="G234" i="2"/>
  <c r="H233" i="2"/>
  <c r="F234" i="2"/>
  <c r="D232" i="5"/>
  <c r="C234" i="5" l="1"/>
  <c r="C235" i="2"/>
  <c r="D235" i="2"/>
  <c r="G235" i="2"/>
  <c r="E235" i="2"/>
  <c r="H234" i="2"/>
  <c r="F235" i="2"/>
  <c r="E233" i="5"/>
  <c r="E236" i="2"/>
  <c r="F236" i="2" l="1"/>
  <c r="C235" i="5"/>
  <c r="C236" i="2"/>
  <c r="D236" i="2"/>
  <c r="G236" i="2"/>
  <c r="H235" i="2"/>
  <c r="D234" i="5"/>
  <c r="E237" i="2"/>
  <c r="H236" i="2" l="1"/>
  <c r="D235" i="5"/>
  <c r="F237" i="2"/>
  <c r="C236" i="5"/>
  <c r="C237" i="2"/>
  <c r="D237" i="2"/>
  <c r="G237" i="2"/>
  <c r="H237" i="2" l="1"/>
  <c r="D236" i="5"/>
  <c r="E236" i="5"/>
  <c r="C237" i="5"/>
  <c r="C238" i="2"/>
  <c r="D238" i="2"/>
  <c r="G238" i="2"/>
  <c r="E238" i="2"/>
  <c r="F236" i="5"/>
  <c r="F238" i="2"/>
  <c r="F239" i="2"/>
  <c r="C238" i="5" l="1"/>
  <c r="C239" i="2"/>
  <c r="G239" i="2"/>
  <c r="D239" i="2"/>
  <c r="H238" i="2"/>
  <c r="E239" i="2"/>
  <c r="D237" i="5"/>
  <c r="E240" i="2"/>
  <c r="H239" i="2" l="1"/>
  <c r="D238" i="5"/>
  <c r="C239" i="5"/>
  <c r="C240" i="2"/>
  <c r="D240" i="2"/>
  <c r="G240" i="2"/>
  <c r="F240" i="2"/>
  <c r="D248" i="1" l="1"/>
  <c r="G248" i="1"/>
  <c r="C240" i="5"/>
  <c r="C241" i="2"/>
  <c r="G241" i="2"/>
  <c r="D241" i="2"/>
  <c r="D239" i="5"/>
  <c r="E239" i="5"/>
  <c r="E241" i="2"/>
  <c r="F241" i="2"/>
  <c r="H240" i="2"/>
  <c r="D249" i="1" l="1"/>
  <c r="F244" i="2"/>
  <c r="G249" i="1"/>
  <c r="E243" i="2"/>
  <c r="C241" i="5"/>
  <c r="C242" i="2"/>
  <c r="G242" i="2"/>
  <c r="D242" i="2"/>
  <c r="E242" i="2"/>
  <c r="H241" i="2"/>
  <c r="F242" i="2"/>
  <c r="D240" i="5"/>
  <c r="D250" i="1" l="1"/>
  <c r="F248" i="1"/>
  <c r="C243" i="5"/>
  <c r="C244" i="2"/>
  <c r="G244" i="2"/>
  <c r="D244" i="2"/>
  <c r="E244" i="2"/>
  <c r="E248" i="1"/>
  <c r="F245" i="2"/>
  <c r="G250" i="1"/>
  <c r="H242" i="2"/>
  <c r="D241" i="5"/>
  <c r="F243" i="2"/>
  <c r="C242" i="5"/>
  <c r="H242" i="5" s="1"/>
  <c r="C243" i="2"/>
  <c r="G243" i="2"/>
  <c r="D243" i="2"/>
  <c r="H244" i="2" l="1"/>
  <c r="D243" i="5"/>
  <c r="F249" i="1"/>
  <c r="C244" i="5"/>
  <c r="D244" i="5" s="1"/>
  <c r="C245" i="2"/>
  <c r="D245" i="2"/>
  <c r="G245" i="2"/>
  <c r="D251" i="1"/>
  <c r="E245" i="2"/>
  <c r="E249" i="1"/>
  <c r="H248" i="1"/>
  <c r="E246" i="2" s="1"/>
  <c r="G251" i="1"/>
  <c r="H243" i="2"/>
  <c r="D242" i="5"/>
  <c r="G242" i="5"/>
  <c r="E242" i="5"/>
  <c r="F242" i="5"/>
  <c r="F246" i="2" l="1"/>
  <c r="F250" i="1"/>
  <c r="D252" i="1"/>
  <c r="C245" i="5"/>
  <c r="D245" i="5" s="1"/>
  <c r="C246" i="2"/>
  <c r="D246" i="2"/>
  <c r="G246" i="2"/>
  <c r="H245" i="2"/>
  <c r="E250" i="1"/>
  <c r="H249" i="1"/>
  <c r="E247" i="2" s="1"/>
  <c r="G252" i="1"/>
  <c r="H246" i="2" l="1"/>
  <c r="D253" i="1"/>
  <c r="C246" i="5"/>
  <c r="C247" i="2"/>
  <c r="G247" i="2"/>
  <c r="D247" i="2"/>
  <c r="E245" i="5"/>
  <c r="F247" i="2"/>
  <c r="F251" i="1"/>
  <c r="E251" i="1"/>
  <c r="H250" i="1"/>
  <c r="E248" i="2" s="1"/>
  <c r="G253" i="1"/>
  <c r="H247" i="2" l="1"/>
  <c r="F248" i="2"/>
  <c r="D246" i="5"/>
  <c r="D254" i="1"/>
  <c r="F252" i="1"/>
  <c r="C247" i="5"/>
  <c r="D247" i="5" s="1"/>
  <c r="C248" i="2"/>
  <c r="D248" i="2"/>
  <c r="G248" i="2"/>
  <c r="E252" i="1"/>
  <c r="H251" i="1"/>
  <c r="E249" i="2" s="1"/>
  <c r="G254" i="1"/>
  <c r="C248" i="5" l="1"/>
  <c r="E248" i="5" s="1"/>
  <c r="C249" i="2"/>
  <c r="G249" i="2"/>
  <c r="D249" i="2"/>
  <c r="D255" i="1"/>
  <c r="F249" i="2"/>
  <c r="H248" i="2"/>
  <c r="F253" i="1"/>
  <c r="E253" i="1"/>
  <c r="H252" i="1"/>
  <c r="F250" i="2" s="1"/>
  <c r="G255" i="1"/>
  <c r="E250" i="2" l="1"/>
  <c r="F254" i="1"/>
  <c r="C249" i="5"/>
  <c r="C250" i="2"/>
  <c r="D250" i="2"/>
  <c r="G250" i="2"/>
  <c r="H249" i="2"/>
  <c r="D256" i="1"/>
  <c r="D248" i="5"/>
  <c r="F248" i="5"/>
  <c r="E254" i="1"/>
  <c r="H253" i="1"/>
  <c r="E251" i="2" s="1"/>
  <c r="G256" i="1"/>
  <c r="H250" i="2" l="1"/>
  <c r="F251" i="2"/>
  <c r="D257" i="1"/>
  <c r="D258" i="1" s="1"/>
  <c r="F255" i="1"/>
  <c r="D249" i="5"/>
  <c r="C250" i="5"/>
  <c r="C251" i="2"/>
  <c r="D251" i="2"/>
  <c r="G251" i="2"/>
  <c r="E255" i="1"/>
  <c r="H254" i="1"/>
  <c r="F252" i="2" s="1"/>
  <c r="G257" i="1"/>
  <c r="G258" i="1" s="1"/>
  <c r="G259" i="1" l="1"/>
  <c r="D259" i="1"/>
  <c r="H251" i="2"/>
  <c r="F256" i="1"/>
  <c r="D250" i="5"/>
  <c r="C251" i="5"/>
  <c r="E251" i="5" s="1"/>
  <c r="C252" i="2"/>
  <c r="G252" i="2"/>
  <c r="D252" i="2"/>
  <c r="E252" i="2"/>
  <c r="E256" i="1"/>
  <c r="H255" i="1"/>
  <c r="F253" i="2" s="1"/>
  <c r="G260" i="1" l="1"/>
  <c r="D260" i="1"/>
  <c r="E253" i="2"/>
  <c r="F257" i="1"/>
  <c r="F258" i="1" s="1"/>
  <c r="C252" i="5"/>
  <c r="C253" i="2"/>
  <c r="G253" i="2"/>
  <c r="D253" i="2"/>
  <c r="H252" i="2"/>
  <c r="D251" i="5"/>
  <c r="E257" i="1"/>
  <c r="E258" i="1" s="1"/>
  <c r="H256" i="1"/>
  <c r="F259" i="1" l="1"/>
  <c r="G261" i="1"/>
  <c r="E259" i="1"/>
  <c r="H258" i="1"/>
  <c r="D261" i="1"/>
  <c r="H257" i="1"/>
  <c r="F255" i="2" s="1"/>
  <c r="H253" i="2"/>
  <c r="D252" i="5"/>
  <c r="C253" i="5"/>
  <c r="D253" i="5" s="1"/>
  <c r="C254" i="2"/>
  <c r="D254" i="2"/>
  <c r="G254" i="2"/>
  <c r="F254" i="2"/>
  <c r="E254" i="2"/>
  <c r="C255" i="5" l="1"/>
  <c r="C256" i="2"/>
  <c r="D256" i="2"/>
  <c r="G256" i="2"/>
  <c r="E256" i="2"/>
  <c r="G262" i="1"/>
  <c r="F256" i="2"/>
  <c r="F260" i="1"/>
  <c r="D262" i="1"/>
  <c r="E260" i="1"/>
  <c r="H259" i="1"/>
  <c r="F257" i="2" s="1"/>
  <c r="E255" i="2"/>
  <c r="H254" i="2"/>
  <c r="C254" i="5"/>
  <c r="C255" i="2"/>
  <c r="D255" i="2"/>
  <c r="G255" i="2"/>
  <c r="H256" i="2" l="1"/>
  <c r="G263" i="1"/>
  <c r="E257" i="2"/>
  <c r="F261" i="1"/>
  <c r="D255" i="5"/>
  <c r="C256" i="5"/>
  <c r="C257" i="2"/>
  <c r="D257" i="2"/>
  <c r="G257" i="2"/>
  <c r="E261" i="1"/>
  <c r="H260" i="1"/>
  <c r="E258" i="2" s="1"/>
  <c r="D263" i="1"/>
  <c r="H255" i="2"/>
  <c r="D254" i="5"/>
  <c r="G254" i="5"/>
  <c r="E254" i="5"/>
  <c r="F254" i="5"/>
  <c r="H254" i="5"/>
  <c r="D256" i="5" l="1"/>
  <c r="F258" i="2"/>
  <c r="F262" i="1"/>
  <c r="H257" i="2"/>
  <c r="C257" i="5"/>
  <c r="D257" i="5" s="1"/>
  <c r="C258" i="2"/>
  <c r="G258" i="2"/>
  <c r="D258" i="2"/>
  <c r="G264" i="1"/>
  <c r="D264" i="1"/>
  <c r="E262" i="1"/>
  <c r="H261" i="1"/>
  <c r="F259" i="2" s="1"/>
  <c r="H258" i="2" l="1"/>
  <c r="F263" i="1"/>
  <c r="C258" i="5"/>
  <c r="C259" i="2"/>
  <c r="D259" i="2"/>
  <c r="G259" i="2"/>
  <c r="E257" i="5"/>
  <c r="E259" i="2"/>
  <c r="G265" i="1"/>
  <c r="E263" i="1"/>
  <c r="H262" i="1"/>
  <c r="F260" i="2" s="1"/>
  <c r="D265" i="1"/>
  <c r="H259" i="2" l="1"/>
  <c r="G266" i="1"/>
  <c r="D258" i="5"/>
  <c r="E260" i="2"/>
  <c r="C259" i="5"/>
  <c r="D259" i="5" s="1"/>
  <c r="C260" i="2"/>
  <c r="G260" i="2"/>
  <c r="D260" i="2"/>
  <c r="F264" i="1"/>
  <c r="D266" i="1"/>
  <c r="E264" i="1"/>
  <c r="H263" i="1"/>
  <c r="F261" i="2" s="1"/>
  <c r="H260" i="2" l="1"/>
  <c r="C260" i="5"/>
  <c r="C261" i="2"/>
  <c r="G261" i="2"/>
  <c r="D261" i="2"/>
  <c r="F265" i="1"/>
  <c r="E261" i="2"/>
  <c r="G267" i="1"/>
  <c r="E265" i="1"/>
  <c r="H264" i="1"/>
  <c r="E262" i="2" s="1"/>
  <c r="D267" i="1"/>
  <c r="F266" i="1" l="1"/>
  <c r="F262" i="2"/>
  <c r="E260" i="5"/>
  <c r="D260" i="5"/>
  <c r="G268" i="1"/>
  <c r="H261" i="2"/>
  <c r="F260" i="5"/>
  <c r="C261" i="5"/>
  <c r="C262" i="2"/>
  <c r="D262" i="2"/>
  <c r="G262" i="2"/>
  <c r="D268" i="1"/>
  <c r="E266" i="1"/>
  <c r="H265" i="1"/>
  <c r="E263" i="2" s="1"/>
  <c r="H262" i="2" l="1"/>
  <c r="G269" i="1"/>
  <c r="D261" i="5"/>
  <c r="C262" i="5"/>
  <c r="D262" i="5" s="1"/>
  <c r="C263" i="2"/>
  <c r="G263" i="2"/>
  <c r="D263" i="2"/>
  <c r="F263" i="2"/>
  <c r="F267" i="1"/>
  <c r="E267" i="1"/>
  <c r="H266" i="1"/>
  <c r="E264" i="2" s="1"/>
  <c r="D269" i="1"/>
  <c r="H263" i="2" l="1"/>
  <c r="C263" i="5"/>
  <c r="D263" i="5" s="1"/>
  <c r="C264" i="2"/>
  <c r="G264" i="2"/>
  <c r="D264" i="2"/>
  <c r="F268" i="1"/>
  <c r="F264" i="2"/>
  <c r="E268" i="1"/>
  <c r="H267" i="1"/>
  <c r="F265" i="2" s="1"/>
  <c r="E263" i="5" l="1"/>
  <c r="E265" i="2"/>
  <c r="F269" i="1"/>
  <c r="H264" i="2"/>
  <c r="C264" i="5"/>
  <c r="C265" i="2"/>
  <c r="D265" i="2"/>
  <c r="G265" i="2"/>
  <c r="E269" i="1"/>
  <c r="H268" i="1"/>
  <c r="H265" i="2" l="1"/>
  <c r="C265" i="5"/>
  <c r="D265" i="5" s="1"/>
  <c r="C266" i="2"/>
  <c r="G266" i="2"/>
  <c r="D266" i="2"/>
  <c r="H269" i="1"/>
  <c r="E266" i="2"/>
  <c r="D264" i="5"/>
  <c r="F266" i="2"/>
  <c r="C266" i="5" l="1"/>
  <c r="C267" i="2"/>
  <c r="D267" i="2"/>
  <c r="G267" i="2"/>
  <c r="E267" i="2"/>
  <c r="F267" i="2"/>
  <c r="H266" i="2"/>
  <c r="H266" i="5"/>
  <c r="H267" i="2" l="1"/>
  <c r="D266" i="5"/>
  <c r="G266" i="5"/>
  <c r="E266" i="5"/>
  <c r="F26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</author>
    <author>LENOVO USER</author>
  </authors>
  <commentList>
    <comment ref="H3" authorId="0" shapeId="0" xr:uid="{00000000-0006-0000-0000-000001000000}">
      <text>
        <r>
          <rPr>
            <sz val="8"/>
            <color indexed="81"/>
            <rFont val="Tahoma"/>
            <family val="2"/>
          </rPr>
          <t>Beregning:
- Basis 100: 1. Januar 2008.
Eksempel:
100 + Procentvis ændring i lønindeks x 60 pct. + Procentvis ændring i dieselindeks x 17 pct. + Procentvis ændring i forbrugerindeks x 10 pct.  etc.
Det vil sige, at den procentvise ændring i hvert indeks (fra periode til periode) ganges med vægtningen (i pct.)</t>
        </r>
      </text>
    </comment>
    <comment ref="C100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LENOVO USER:</t>
        </r>
        <r>
          <rPr>
            <sz val="8"/>
            <color indexed="81"/>
            <rFont val="Tahoma"/>
            <family val="2"/>
          </rPr>
          <t xml:space="preserve">
ghffgnbjk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</author>
    <author>Leif Carstens</author>
  </authors>
  <commentList>
    <comment ref="A10" authorId="0" shapeId="0" xr:uid="{00000000-0006-0000-0300-000001000000}">
      <text>
        <r>
          <rPr>
            <sz val="8"/>
            <color indexed="81"/>
            <rFont val="Tahoma"/>
            <family val="2"/>
          </rPr>
          <t>Dette indeks skal dække omkostninger til reparation og vedligeholdelse</t>
        </r>
      </text>
    </comment>
    <comment ref="A12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>Leif Carstens:</t>
        </r>
        <r>
          <rPr>
            <sz val="9"/>
            <color indexed="81"/>
            <rFont val="Tahoma"/>
            <family val="2"/>
          </rPr>
          <t xml:space="preserve">
Indekser opdateres ikke længere. Danmarks Statistik udarbejder specialkørsel indtil aug 2014. Se fanen "Note pris 10"</t>
        </r>
      </text>
    </comment>
  </commentList>
</comments>
</file>

<file path=xl/sharedStrings.xml><?xml version="1.0" encoding="utf-8"?>
<sst xmlns="http://schemas.openxmlformats.org/spreadsheetml/2006/main" count="1179" uniqueCount="127">
  <si>
    <t>Indeks</t>
  </si>
  <si>
    <t>År</t>
  </si>
  <si>
    <t>Måned</t>
  </si>
  <si>
    <t>Løn</t>
  </si>
  <si>
    <t>Diesel</t>
  </si>
  <si>
    <t>Forbrug</t>
  </si>
  <si>
    <t>Maskiner</t>
  </si>
  <si>
    <t>Rente</t>
  </si>
  <si>
    <t>Januar</t>
  </si>
  <si>
    <t>Februar</t>
  </si>
  <si>
    <t>Marts</t>
  </si>
  <si>
    <t>April</t>
  </si>
  <si>
    <t>Maj</t>
  </si>
  <si>
    <t>Juni</t>
  </si>
  <si>
    <t>August</t>
  </si>
  <si>
    <t>September</t>
  </si>
  <si>
    <t>Oktober</t>
  </si>
  <si>
    <t>November</t>
  </si>
  <si>
    <t>December</t>
  </si>
  <si>
    <t>-</t>
  </si>
  <si>
    <t>∆ Måned</t>
  </si>
  <si>
    <t>I alt</t>
  </si>
  <si>
    <t>Reelle vægte</t>
  </si>
  <si>
    <t>Navn</t>
  </si>
  <si>
    <t>DST Betegnelse</t>
  </si>
  <si>
    <t>Opdateres</t>
  </si>
  <si>
    <t>Hver 3. måned</t>
  </si>
  <si>
    <t>Hver måned</t>
  </si>
  <si>
    <t>Vægt</t>
  </si>
  <si>
    <t>Kilde</t>
  </si>
  <si>
    <t>Juli</t>
  </si>
  <si>
    <t>Skøn</t>
  </si>
  <si>
    <t>Kildebeskrivelse</t>
  </si>
  <si>
    <t>∆ Kvartal</t>
  </si>
  <si>
    <t>∆ År</t>
  </si>
  <si>
    <t>Udvikling i indeks</t>
  </si>
  <si>
    <t>∆ Halvår</t>
  </si>
  <si>
    <t>Forskydning</t>
  </si>
  <si>
    <t>6 måneder</t>
  </si>
  <si>
    <t>2 måneder</t>
  </si>
  <si>
    <t>Se note 1</t>
  </si>
  <si>
    <t>Se note 2</t>
  </si>
  <si>
    <t xml:space="preserve">Note 1: Omkostningsindekset for januar 2013 er ændret på grund af ændringer i lønsummen. </t>
  </si>
  <si>
    <t xml:space="preserve">Note 2: Omkostningsindekset for februar 2013 er ændret på grund af ændringer i lønsummen. </t>
  </si>
  <si>
    <t>Se note 3</t>
  </si>
  <si>
    <t>Note 3: Udarbejdet p.b.a. specielt udtræk af PRIS10 fra Danmarks Statistik. PRIS10 I ALT offentliggøres ikke længere.</t>
  </si>
  <si>
    <t>Note</t>
  </si>
  <si>
    <t>Kolonne1</t>
  </si>
  <si>
    <t>dec</t>
  </si>
  <si>
    <t>jan</t>
  </si>
  <si>
    <t>feb</t>
  </si>
  <si>
    <t>Anvendes</t>
  </si>
  <si>
    <t>mar</t>
  </si>
  <si>
    <t>apr</t>
  </si>
  <si>
    <t>2005=100</t>
  </si>
  <si>
    <t>2010=100</t>
  </si>
  <si>
    <t>Uggået indeks pris 10</t>
  </si>
  <si>
    <t>Indeks fremsendt til FynBus fra Danmarks Statistik</t>
  </si>
  <si>
    <t>Omregning</t>
  </si>
  <si>
    <t>maj</t>
  </si>
  <si>
    <t>jun</t>
  </si>
  <si>
    <t>juli</t>
  </si>
  <si>
    <t>juni</t>
  </si>
  <si>
    <t>august</t>
  </si>
  <si>
    <t>september</t>
  </si>
  <si>
    <t>oktober</t>
  </si>
  <si>
    <t>Se note 4</t>
  </si>
  <si>
    <t>Pris10 udgår og er ændret til PRIS 11.87 i alt,  iht. aftale mellem DB/DI og Trafikselskaberne i DK</t>
  </si>
  <si>
    <r>
      <rPr>
        <b/>
        <sz val="10"/>
        <rFont val="Arial"/>
        <family val="2"/>
      </rPr>
      <t>Løn:</t>
    </r>
    <r>
      <rPr>
        <sz val="10"/>
        <rFont val="Arial"/>
        <family val="2"/>
      </rPr>
      <t xml:space="preserve"> Lønindeks for den private og offentlige sektor .. ILON2: Lønindeks for den private sektor (1. kvt. 2005 = 100) efter branche, tid og sæsonkorrigeret - TOTAL
</t>
    </r>
    <r>
      <rPr>
        <sz val="9"/>
        <rFont val="Arial"/>
        <family val="2"/>
      </rPr>
      <t>Fra 1.1.2013 reguleres lønindeks med ændring i lønsum (1,0101)</t>
    </r>
    <r>
      <rPr>
        <sz val="10"/>
        <rFont val="Arial"/>
        <family val="2"/>
      </rPr>
      <t xml:space="preserve">
Fra 1. kvt. 2014 ændret til ILON12.</t>
    </r>
  </si>
  <si>
    <t>.</t>
  </si>
  <si>
    <t>Note 5</t>
  </si>
  <si>
    <t>Note 5:</t>
  </si>
  <si>
    <r>
      <rPr>
        <b/>
        <sz val="10"/>
        <rFont val="Arial"/>
        <family val="2"/>
      </rPr>
      <t>Indkomst, forbrug og priser:</t>
    </r>
    <r>
      <rPr>
        <sz val="10"/>
        <rFont val="Arial"/>
        <family val="2"/>
      </rPr>
      <t xml:space="preserve"> Prisindeks .. PRIS111: Forbrugerprisindeks - 00. I ALT</t>
    </r>
  </si>
  <si>
    <t>Udgået PRIS6 ultimo 2015 ændres til PRIS111 iht. Danmark Statistik</t>
  </si>
  <si>
    <t>Pris6  udgår og offentliggøres sidste gang december 2015 men ændres til PRIS111 primo 2016 iht. skrivelse fra Danmark Statistik</t>
  </si>
  <si>
    <t>HVO indeks (forskudt to måneder)</t>
  </si>
  <si>
    <t>HVO</t>
  </si>
  <si>
    <t>Udgangspunkt 72 % over diesel</t>
  </si>
  <si>
    <t>Ny vægt i indeks</t>
  </si>
  <si>
    <t>Udgangspunkt for indeks svarer til diesel indeks med 72% prisstigning</t>
  </si>
  <si>
    <t>Priser december 2017</t>
  </si>
  <si>
    <t>kr/l</t>
  </si>
  <si>
    <t xml:space="preserve">Prisforskel </t>
  </si>
  <si>
    <t>Vægt med diesel (feb 18)</t>
  </si>
  <si>
    <t>Forbrugerpris</t>
  </si>
  <si>
    <t>Listepris</t>
  </si>
  <si>
    <t>Listepris moms</t>
  </si>
  <si>
    <t>Udgangspunkt</t>
  </si>
  <si>
    <t>Energiafgift</t>
  </si>
  <si>
    <t>Nuværende</t>
  </si>
  <si>
    <t>CO2-afgift</t>
  </si>
  <si>
    <t>Reel vægt</t>
  </si>
  <si>
    <t>NOx-afgift</t>
  </si>
  <si>
    <t>Vægt med HVO (feb 18)</t>
  </si>
  <si>
    <t>SUM</t>
  </si>
  <si>
    <t>Virkningsgrad</t>
  </si>
  <si>
    <t>Korrigeret pris</t>
  </si>
  <si>
    <t>Samlet vægtning kommer fra baggrundsarket hos Trafikselskaberne, hvor der er lagt en prisstigning på diesel ind på 72 pct.</t>
  </si>
  <si>
    <t>Meromkostning ift diesel</t>
  </si>
  <si>
    <t>MJ/kg</t>
  </si>
  <si>
    <t>Massefylde</t>
  </si>
  <si>
    <t>MJ/l</t>
  </si>
  <si>
    <t>kr/MJ</t>
  </si>
  <si>
    <t>Merpris HVO ift. diesel</t>
  </si>
  <si>
    <r>
      <t>Indeks for prisudviklingen for syntetisk biodiesel er baseret på et svensk HVO-indeks, der offentliggøres på http://www.svenskkollektivtrafik.se/partnersamverkan/index/hvo-index/. Indekset er udarbejdet af Indexrådet med deltagelse af Svensk Kollektivtrafik, Sveriges Bussföretag og Svenska Taxiförbundet. Indekset er baseret på svenske HVO-priser inkl. skatter og ekskl. moms.</t>
    </r>
    <r>
      <rPr>
        <sz val="10"/>
        <color indexed="12"/>
        <rFont val="Arial"/>
        <family val="2"/>
      </rPr>
      <t xml:space="preserve">
</t>
    </r>
    <r>
      <rPr>
        <sz val="10"/>
        <rFont val="Arial"/>
        <family val="2"/>
      </rPr>
      <t>Indekset for juni, juli og august opdateres samtidigt den 25. august eller den flg. hverdag. Derfor offentliggøres indekset for august måned først d. 25. august eller den flg. hverdag.på Trafikselskaberne.dk.</t>
    </r>
  </si>
  <si>
    <t>Danmarks Statistiko og www.statistikbanken.dk og Svensk Kollektivtrafik</t>
  </si>
  <si>
    <t>HVO OmkostningsIndeks</t>
  </si>
  <si>
    <t xml:space="preserve">Januar </t>
  </si>
  <si>
    <t>februar</t>
  </si>
  <si>
    <t>Kurs SEK</t>
  </si>
  <si>
    <t>Omregning fra SEK til DKK sker på basis af Nationalbankens valutakurser på samme dato som HVO prisen er baseret*. http://www.nationalbanken.dk/da/statistik/valutakurs/Sider/default.aspx</t>
  </si>
  <si>
    <t>*Det svenske HVO indeks for fx. januar er baseret på prisen
 den 15. december og pga. forskydning indgår det i det samlede
 indeks for marts. Så i marts indekset er valutakursen for 
15. december brugt til omregning</t>
  </si>
  <si>
    <t xml:space="preserve">                          Dato</t>
  </si>
  <si>
    <t>Indeks februar 2018</t>
  </si>
  <si>
    <t>Note4b</t>
  </si>
  <si>
    <t>Note 4a:</t>
  </si>
  <si>
    <t>PRIS11.87 erstattes fra 1.3.2019 af PRIS1115.87 I Alt. Indeksbasisåret er skiftet fra 2010=100 til 2015=100</t>
  </si>
  <si>
    <r>
      <rPr>
        <b/>
        <sz val="10"/>
        <rFont val="Arial"/>
        <family val="2"/>
      </rPr>
      <t>Indkomst, forbrug og priser:</t>
    </r>
    <r>
      <rPr>
        <sz val="10"/>
        <rFont val="Arial"/>
        <family val="2"/>
      </rPr>
      <t xml:space="preserve"> Prisindeks .. PRIS10: Prisindeks for indenlandsk vareforsyning - Maskiner og værktøjer samt varetransportmidler - ALT
1.11.2014 PRIS10 UDGÅR og erstattes af
PRIS11.87 køretøjer og dele detil I ALT.
</t>
    </r>
    <r>
      <rPr>
        <sz val="10"/>
        <color indexed="62"/>
        <rFont val="Arial"/>
        <family val="2"/>
      </rPr>
      <t>PRIS11.87 køretøjer og dele dertil i ALT. Erstattes 1.3.2019 af</t>
    </r>
    <r>
      <rPr>
        <sz val="10"/>
        <rFont val="Arial"/>
        <family val="2"/>
      </rPr>
      <t xml:space="preserve"> </t>
    </r>
    <r>
      <rPr>
        <b/>
        <sz val="10"/>
        <color indexed="62"/>
        <rFont val="Arial"/>
        <family val="2"/>
      </rPr>
      <t>PRIS1115.87 I Alt. Indeksbasisåret er skiftet fra 2010=100 til 2015=100</t>
    </r>
  </si>
  <si>
    <t>15-01-2019</t>
  </si>
  <si>
    <t>15-05.2019</t>
  </si>
  <si>
    <t>15-01-2020</t>
  </si>
  <si>
    <t>15-01-2021</t>
  </si>
  <si>
    <t>Rentegennemsnit (nasdaqomxnordic.com)</t>
  </si>
  <si>
    <r>
      <rPr>
        <b/>
        <sz val="9"/>
        <rFont val="Arial"/>
        <family val="2"/>
      </rPr>
      <t>Udgår:</t>
    </r>
    <r>
      <rPr>
        <b/>
        <sz val="10"/>
        <rFont val="Arial"/>
        <family val="2"/>
      </rPr>
      <t xml:space="preserve"> Penge og kapitalmarked: </t>
    </r>
    <r>
      <rPr>
        <sz val="10"/>
        <rFont val="Arial"/>
        <family val="2"/>
      </rPr>
      <t>Rente- og kursudvikling .. MPK3: Samtlige serier (Obligationsrentegennemsnit)</t>
    </r>
    <r>
      <rPr>
        <sz val="10"/>
        <rFont val="Arial"/>
        <family val="2"/>
      </rPr>
      <t xml:space="preserve">
</t>
    </r>
    <r>
      <rPr>
        <b/>
        <sz val="9"/>
        <rFont val="Arial"/>
        <family val="2"/>
      </rPr>
      <t>Ændring</t>
    </r>
    <r>
      <rPr>
        <sz val="9"/>
        <rFont val="Arial"/>
        <family val="2"/>
      </rPr>
      <t>: Fra 2021 ses rente på Nasdaq - Average Bond Yield -</t>
    </r>
  </si>
  <si>
    <t>Note 6:</t>
  </si>
  <si>
    <t>Note 6</t>
  </si>
  <si>
    <t>ILON12 erstattes med SBLON1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</si>
</sst>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.00_ ;_ * \-#,##0.00_ ;_ * &quot;-&quot;??_ ;_ @_ "/>
    <numFmt numFmtId="165" formatCode="_(* #,##0.00_);_(* \(#,##0.00\);_(* &quot;-&quot;??_);_(@_)"/>
    <numFmt numFmtId="166" formatCode="0.0"/>
    <numFmt numFmtId="167" formatCode="0.0%"/>
    <numFmt numFmtId="168" formatCode="#,##0.0_ ;\-#,##0.0\ "/>
    <numFmt numFmtId="169" formatCode="0.000"/>
    <numFmt numFmtId="170" formatCode="_ * #,##0.0_ ;_ * \-#,##0.0_ ;_ * &quot;-&quot;??_ ;_ @_ "/>
    <numFmt numFmtId="171" formatCode="_(* #,##0.0_);_(* \(#,##0.0\);_(* &quot;-&quot;??_);_(@_)"/>
    <numFmt numFmtId="172" formatCode="0.0000000"/>
  </numFmts>
  <fonts count="38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  <font>
      <i/>
      <sz val="10"/>
      <name val="Arial"/>
      <family val="2"/>
    </font>
    <font>
      <sz val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b/>
      <sz val="9"/>
      <name val="Arial"/>
      <family val="2"/>
    </font>
    <font>
      <sz val="10"/>
      <color indexed="62"/>
      <name val="Arial"/>
      <family val="2"/>
    </font>
    <font>
      <b/>
      <sz val="10"/>
      <color indexed="6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i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lightDown">
        <fgColor theme="3" tint="0.59996337778862885"/>
        <bgColor indexed="65"/>
      </patternFill>
    </fill>
    <fill>
      <patternFill patternType="lightDown">
        <f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" fillId="0" borderId="0"/>
    <xf numFmtId="0" fontId="1" fillId="0" borderId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2">
    <xf numFmtId="0" fontId="0" fillId="0" borderId="0" xfId="0"/>
    <xf numFmtId="0" fontId="2" fillId="0" borderId="0" xfId="0" applyFont="1"/>
    <xf numFmtId="0" fontId="3" fillId="0" borderId="0" xfId="0" applyFont="1"/>
    <xf numFmtId="9" fontId="3" fillId="0" borderId="0" xfId="0" applyNumberFormat="1" applyFont="1"/>
    <xf numFmtId="165" fontId="0" fillId="0" borderId="0" xfId="0" applyNumberFormat="1"/>
    <xf numFmtId="0" fontId="7" fillId="0" borderId="0" xfId="0" applyFont="1"/>
    <xf numFmtId="0" fontId="6" fillId="0" borderId="0" xfId="0" applyFont="1"/>
    <xf numFmtId="166" fontId="3" fillId="0" borderId="0" xfId="0" applyNumberFormat="1" applyFont="1"/>
    <xf numFmtId="2" fontId="3" fillId="0" borderId="0" xfId="0" applyNumberFormat="1" applyFont="1"/>
    <xf numFmtId="165" fontId="3" fillId="0" borderId="0" xfId="0" applyNumberFormat="1" applyFont="1"/>
    <xf numFmtId="0" fontId="8" fillId="0" borderId="0" xfId="0" applyFont="1"/>
    <xf numFmtId="166" fontId="0" fillId="0" borderId="0" xfId="0" applyNumberFormat="1"/>
    <xf numFmtId="0" fontId="8" fillId="0" borderId="1" xfId="0" applyFont="1" applyBorder="1"/>
    <xf numFmtId="0" fontId="0" fillId="0" borderId="1" xfId="0" applyBorder="1"/>
    <xf numFmtId="166" fontId="0" fillId="0" borderId="1" xfId="0" applyNumberFormat="1" applyBorder="1"/>
    <xf numFmtId="2" fontId="0" fillId="0" borderId="1" xfId="0" applyNumberFormat="1" applyBorder="1"/>
    <xf numFmtId="165" fontId="0" fillId="0" borderId="1" xfId="0" applyNumberFormat="1" applyBorder="1"/>
    <xf numFmtId="0" fontId="8" fillId="0" borderId="2" xfId="0" applyFont="1" applyBorder="1"/>
    <xf numFmtId="0" fontId="0" fillId="0" borderId="2" xfId="0" applyBorder="1"/>
    <xf numFmtId="166" fontId="0" fillId="0" borderId="2" xfId="0" applyNumberFormat="1" applyBorder="1"/>
    <xf numFmtId="165" fontId="0" fillId="0" borderId="2" xfId="0" applyNumberFormat="1" applyBorder="1"/>
    <xf numFmtId="2" fontId="0" fillId="0" borderId="0" xfId="0" applyNumberFormat="1"/>
    <xf numFmtId="0" fontId="6" fillId="0" borderId="2" xfId="0" applyFont="1" applyBorder="1"/>
    <xf numFmtId="2" fontId="0" fillId="0" borderId="2" xfId="0" applyNumberFormat="1" applyBorder="1"/>
    <xf numFmtId="166" fontId="6" fillId="0" borderId="2" xfId="0" applyNumberFormat="1" applyFont="1" applyBorder="1"/>
    <xf numFmtId="0" fontId="10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2" fillId="0" borderId="0" xfId="0" applyFont="1"/>
    <xf numFmtId="164" fontId="6" fillId="0" borderId="0" xfId="0" applyNumberFormat="1" applyFont="1"/>
    <xf numFmtId="164" fontId="9" fillId="0" borderId="0" xfId="0" applyNumberFormat="1" applyFont="1"/>
    <xf numFmtId="0" fontId="8" fillId="0" borderId="3" xfId="0" applyFont="1" applyBorder="1"/>
    <xf numFmtId="0" fontId="0" fillId="0" borderId="3" xfId="0" applyBorder="1"/>
    <xf numFmtId="166" fontId="0" fillId="0" borderId="3" xfId="0" applyNumberFormat="1" applyBorder="1"/>
    <xf numFmtId="165" fontId="0" fillId="0" borderId="3" xfId="0" applyNumberFormat="1" applyBorder="1"/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2" borderId="1" xfId="0" applyFill="1" applyBorder="1"/>
    <xf numFmtId="0" fontId="0" fillId="2" borderId="2" xfId="0" applyFill="1" applyBorder="1"/>
    <xf numFmtId="0" fontId="0" fillId="2" borderId="0" xfId="0" applyFill="1"/>
    <xf numFmtId="0" fontId="0" fillId="2" borderId="3" xfId="0" applyFill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166" fontId="10" fillId="0" borderId="0" xfId="1" applyNumberFormat="1" applyFont="1" applyBorder="1" applyAlignment="1">
      <alignment horizontal="center"/>
    </xf>
    <xf numFmtId="166" fontId="11" fillId="0" borderId="0" xfId="1" applyNumberFormat="1" applyFont="1" applyBorder="1" applyAlignment="1">
      <alignment horizontal="center"/>
    </xf>
    <xf numFmtId="166" fontId="11" fillId="0" borderId="1" xfId="1" applyNumberFormat="1" applyFont="1" applyBorder="1" applyAlignment="1">
      <alignment horizontal="center"/>
    </xf>
    <xf numFmtId="166" fontId="11" fillId="0" borderId="2" xfId="1" applyNumberFormat="1" applyFont="1" applyBorder="1" applyAlignment="1">
      <alignment horizontal="center"/>
    </xf>
    <xf numFmtId="166" fontId="11" fillId="0" borderId="3" xfId="1" applyNumberFormat="1" applyFont="1" applyBorder="1" applyAlignment="1">
      <alignment horizontal="center"/>
    </xf>
    <xf numFmtId="166" fontId="11" fillId="0" borderId="0" xfId="1" applyNumberFormat="1" applyFont="1" applyFill="1" applyBorder="1" applyAlignment="1">
      <alignment horizontal="center"/>
    </xf>
    <xf numFmtId="0" fontId="3" fillId="0" borderId="4" xfId="0" applyFont="1" applyBorder="1"/>
    <xf numFmtId="0" fontId="0" fillId="0" borderId="4" xfId="0" applyBorder="1"/>
    <xf numFmtId="167" fontId="0" fillId="0" borderId="4" xfId="0" applyNumberFormat="1" applyBorder="1"/>
    <xf numFmtId="165" fontId="0" fillId="2" borderId="0" xfId="0" applyNumberFormat="1" applyFill="1"/>
    <xf numFmtId="165" fontId="0" fillId="2" borderId="1" xfId="0" applyNumberFormat="1" applyFill="1" applyBorder="1"/>
    <xf numFmtId="165" fontId="0" fillId="2" borderId="2" xfId="0" applyNumberFormat="1" applyFill="1" applyBorder="1"/>
    <xf numFmtId="168" fontId="9" fillId="0" borderId="0" xfId="0" applyNumberFormat="1" applyFont="1"/>
    <xf numFmtId="166" fontId="11" fillId="0" borderId="0" xfId="0" applyNumberFormat="1" applyFont="1" applyAlignment="1">
      <alignment horizontal="center"/>
    </xf>
    <xf numFmtId="166" fontId="11" fillId="0" borderId="2" xfId="0" applyNumberFormat="1" applyFont="1" applyBorder="1" applyAlignment="1">
      <alignment horizontal="center"/>
    </xf>
    <xf numFmtId="166" fontId="6" fillId="0" borderId="0" xfId="0" applyNumberFormat="1" applyFont="1"/>
    <xf numFmtId="2" fontId="0" fillId="0" borderId="3" xfId="0" applyNumberFormat="1" applyBorder="1"/>
    <xf numFmtId="2" fontId="7" fillId="0" borderId="0" xfId="0" applyNumberFormat="1" applyFont="1"/>
    <xf numFmtId="0" fontId="10" fillId="0" borderId="0" xfId="0" applyFont="1"/>
    <xf numFmtId="167" fontId="0" fillId="0" borderId="0" xfId="0" applyNumberFormat="1"/>
    <xf numFmtId="167" fontId="0" fillId="0" borderId="1" xfId="0" applyNumberFormat="1" applyBorder="1"/>
    <xf numFmtId="167" fontId="0" fillId="0" borderId="2" xfId="0" applyNumberFormat="1" applyBorder="1"/>
    <xf numFmtId="167" fontId="0" fillId="0" borderId="3" xfId="0" applyNumberFormat="1" applyBorder="1"/>
    <xf numFmtId="167" fontId="3" fillId="0" borderId="0" xfId="0" applyNumberFormat="1" applyFont="1"/>
    <xf numFmtId="167" fontId="6" fillId="0" borderId="1" xfId="0" applyNumberFormat="1" applyFont="1" applyBorder="1"/>
    <xf numFmtId="165" fontId="11" fillId="0" borderId="0" xfId="1" applyFont="1" applyBorder="1" applyAlignment="1">
      <alignment horizontal="center"/>
    </xf>
    <xf numFmtId="165" fontId="11" fillId="0" borderId="1" xfId="1" applyFont="1" applyBorder="1" applyAlignment="1">
      <alignment horizontal="center"/>
    </xf>
    <xf numFmtId="165" fontId="11" fillId="0" borderId="2" xfId="1" applyFont="1" applyBorder="1" applyAlignment="1">
      <alignment horizontal="center"/>
    </xf>
    <xf numFmtId="165" fontId="11" fillId="0" borderId="3" xfId="1" applyFont="1" applyBorder="1" applyAlignment="1">
      <alignment horizontal="center"/>
    </xf>
    <xf numFmtId="2" fontId="7" fillId="3" borderId="0" xfId="0" applyNumberFormat="1" applyFont="1" applyFill="1"/>
    <xf numFmtId="2" fontId="7" fillId="3" borderId="1" xfId="0" applyNumberFormat="1" applyFont="1" applyFill="1" applyBorder="1"/>
    <xf numFmtId="0" fontId="13" fillId="3" borderId="0" xfId="0" applyFont="1" applyFill="1"/>
    <xf numFmtId="0" fontId="3" fillId="0" borderId="0" xfId="0" applyFont="1" applyAlignment="1">
      <alignment horizontal="right"/>
    </xf>
    <xf numFmtId="10" fontId="6" fillId="0" borderId="0" xfId="0" applyNumberFormat="1" applyFont="1" applyAlignment="1">
      <alignment horizontal="right"/>
    </xf>
    <xf numFmtId="167" fontId="0" fillId="0" borderId="0" xfId="0" applyNumberFormat="1" applyAlignment="1">
      <alignment horizontal="right"/>
    </xf>
    <xf numFmtId="167" fontId="0" fillId="3" borderId="0" xfId="0" applyNumberFormat="1" applyFill="1"/>
    <xf numFmtId="167" fontId="0" fillId="3" borderId="1" xfId="0" applyNumberFormat="1" applyFill="1" applyBorder="1"/>
    <xf numFmtId="167" fontId="0" fillId="3" borderId="2" xfId="0" applyNumberFormat="1" applyFill="1" applyBorder="1"/>
    <xf numFmtId="165" fontId="11" fillId="0" borderId="0" xfId="1" applyFont="1" applyFill="1" applyBorder="1" applyAlignment="1">
      <alignment horizontal="center"/>
    </xf>
    <xf numFmtId="166" fontId="10" fillId="0" borderId="0" xfId="1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67" fontId="3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6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3" fillId="0" borderId="2" xfId="0" applyFont="1" applyBorder="1"/>
    <xf numFmtId="167" fontId="6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7" fontId="0" fillId="0" borderId="1" xfId="0" applyNumberFormat="1" applyBorder="1" applyAlignment="1">
      <alignment horizontal="center"/>
    </xf>
    <xf numFmtId="167" fontId="0" fillId="0" borderId="2" xfId="0" applyNumberFormat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166" fontId="6" fillId="0" borderId="3" xfId="0" applyNumberFormat="1" applyFont="1" applyBorder="1"/>
    <xf numFmtId="2" fontId="6" fillId="0" borderId="3" xfId="0" applyNumberFormat="1" applyFont="1" applyBorder="1"/>
    <xf numFmtId="166" fontId="11" fillId="0" borderId="3" xfId="0" applyNumberFormat="1" applyFont="1" applyBorder="1" applyAlignment="1">
      <alignment horizontal="center"/>
    </xf>
    <xf numFmtId="167" fontId="6" fillId="0" borderId="3" xfId="0" applyNumberFormat="1" applyFont="1" applyBorder="1"/>
    <xf numFmtId="166" fontId="6" fillId="0" borderId="1" xfId="0" applyNumberFormat="1" applyFont="1" applyBorder="1"/>
    <xf numFmtId="166" fontId="6" fillId="0" borderId="4" xfId="0" applyNumberFormat="1" applyFont="1" applyBorder="1"/>
    <xf numFmtId="2" fontId="6" fillId="0" borderId="0" xfId="0" applyNumberFormat="1" applyFont="1"/>
    <xf numFmtId="2" fontId="6" fillId="0" borderId="1" xfId="0" applyNumberFormat="1" applyFont="1" applyBorder="1"/>
    <xf numFmtId="2" fontId="6" fillId="0" borderId="2" xfId="0" applyNumberFormat="1" applyFont="1" applyBorder="1"/>
    <xf numFmtId="167" fontId="6" fillId="0" borderId="0" xfId="0" applyNumberFormat="1" applyFont="1"/>
    <xf numFmtId="166" fontId="11" fillId="0" borderId="1" xfId="1" applyNumberFormat="1" applyFont="1" applyFill="1" applyBorder="1" applyAlignment="1">
      <alignment horizontal="center"/>
    </xf>
    <xf numFmtId="166" fontId="11" fillId="0" borderId="2" xfId="1" applyNumberFormat="1" applyFont="1" applyFill="1" applyBorder="1" applyAlignment="1">
      <alignment horizontal="center"/>
    </xf>
    <xf numFmtId="167" fontId="6" fillId="0" borderId="2" xfId="0" applyNumberFormat="1" applyFont="1" applyBorder="1"/>
    <xf numFmtId="0" fontId="0" fillId="0" borderId="0" xfId="0" applyAlignment="1">
      <alignment vertical="top"/>
    </xf>
    <xf numFmtId="167" fontId="6" fillId="0" borderId="4" xfId="0" applyNumberFormat="1" applyFont="1" applyBorder="1"/>
    <xf numFmtId="166" fontId="1" fillId="0" borderId="0" xfId="0" applyNumberFormat="1" applyFont="1"/>
    <xf numFmtId="2" fontId="1" fillId="0" borderId="2" xfId="0" applyNumberFormat="1" applyFont="1" applyBorder="1"/>
    <xf numFmtId="2" fontId="1" fillId="0" borderId="0" xfId="0" applyNumberFormat="1" applyFont="1"/>
    <xf numFmtId="166" fontId="1" fillId="0" borderId="1" xfId="0" applyNumberFormat="1" applyFont="1" applyBorder="1"/>
    <xf numFmtId="2" fontId="1" fillId="0" borderId="1" xfId="0" applyNumberFormat="1" applyFont="1" applyBorder="1"/>
    <xf numFmtId="166" fontId="1" fillId="0" borderId="3" xfId="0" applyNumberFormat="1" applyFont="1" applyBorder="1"/>
    <xf numFmtId="2" fontId="1" fillId="0" borderId="3" xfId="0" applyNumberFormat="1" applyFont="1" applyBorder="1"/>
    <xf numFmtId="166" fontId="15" fillId="0" borderId="0" xfId="1" applyNumberFormat="1" applyFont="1" applyFill="1" applyBorder="1" applyAlignment="1">
      <alignment horizontal="center"/>
    </xf>
    <xf numFmtId="166" fontId="15" fillId="0" borderId="1" xfId="1" applyNumberFormat="1" applyFont="1" applyFill="1" applyBorder="1" applyAlignment="1">
      <alignment horizontal="center"/>
    </xf>
    <xf numFmtId="166" fontId="15" fillId="0" borderId="2" xfId="1" applyNumberFormat="1" applyFont="1" applyFill="1" applyBorder="1" applyAlignment="1">
      <alignment horizontal="center"/>
    </xf>
    <xf numFmtId="166" fontId="15" fillId="0" borderId="0" xfId="0" applyNumberFormat="1" applyFont="1" applyAlignment="1">
      <alignment horizontal="center"/>
    </xf>
    <xf numFmtId="166" fontId="15" fillId="0" borderId="2" xfId="0" applyNumberFormat="1" applyFont="1" applyBorder="1" applyAlignment="1">
      <alignment horizontal="center"/>
    </xf>
    <xf numFmtId="166" fontId="15" fillId="0" borderId="3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166" fontId="7" fillId="3" borderId="0" xfId="0" applyNumberFormat="1" applyFont="1" applyFill="1"/>
    <xf numFmtId="166" fontId="7" fillId="3" borderId="1" xfId="0" applyNumberFormat="1" applyFont="1" applyFill="1" applyBorder="1"/>
    <xf numFmtId="166" fontId="7" fillId="3" borderId="2" xfId="0" applyNumberFormat="1" applyFont="1" applyFill="1" applyBorder="1"/>
    <xf numFmtId="166" fontId="1" fillId="4" borderId="0" xfId="0" applyNumberFormat="1" applyFont="1" applyFill="1"/>
    <xf numFmtId="166" fontId="11" fillId="4" borderId="0" xfId="1" applyNumberFormat="1" applyFont="1" applyFill="1" applyBorder="1" applyAlignment="1">
      <alignment horizontal="center"/>
    </xf>
    <xf numFmtId="167" fontId="1" fillId="3" borderId="0" xfId="0" applyNumberFormat="1" applyFont="1" applyFill="1"/>
    <xf numFmtId="0" fontId="1" fillId="4" borderId="0" xfId="0" applyFont="1" applyFill="1"/>
    <xf numFmtId="167" fontId="1" fillId="0" borderId="2" xfId="0" applyNumberFormat="1" applyFont="1" applyBorder="1"/>
    <xf numFmtId="166" fontId="11" fillId="0" borderId="1" xfId="0" applyNumberFormat="1" applyFont="1" applyBorder="1" applyAlignment="1">
      <alignment horizontal="center"/>
    </xf>
    <xf numFmtId="166" fontId="1" fillId="4" borderId="1" xfId="0" applyNumberFormat="1" applyFont="1" applyFill="1" applyBorder="1"/>
    <xf numFmtId="0" fontId="3" fillId="0" borderId="3" xfId="0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0" fontId="3" fillId="0" borderId="3" xfId="0" applyFont="1" applyBorder="1"/>
    <xf numFmtId="0" fontId="1" fillId="0" borderId="0" xfId="0" applyFont="1" applyAlignment="1">
      <alignment wrapText="1"/>
    </xf>
    <xf numFmtId="0" fontId="1" fillId="0" borderId="0" xfId="0" applyFont="1"/>
    <xf numFmtId="0" fontId="0" fillId="0" borderId="5" xfId="0" applyBorder="1"/>
    <xf numFmtId="166" fontId="0" fillId="0" borderId="5" xfId="0" applyNumberFormat="1" applyBorder="1"/>
    <xf numFmtId="0" fontId="0" fillId="5" borderId="5" xfId="0" applyFill="1" applyBorder="1"/>
    <xf numFmtId="166" fontId="0" fillId="4" borderId="5" xfId="0" applyNumberFormat="1" applyFill="1" applyBorder="1"/>
    <xf numFmtId="170" fontId="0" fillId="0" borderId="5" xfId="1" applyNumberFormat="1" applyFont="1" applyBorder="1"/>
    <xf numFmtId="0" fontId="3" fillId="0" borderId="5" xfId="0" applyFont="1" applyBorder="1"/>
    <xf numFmtId="166" fontId="6" fillId="4" borderId="1" xfId="0" applyNumberFormat="1" applyFont="1" applyFill="1" applyBorder="1"/>
    <xf numFmtId="0" fontId="1" fillId="0" borderId="5" xfId="0" applyFont="1" applyBorder="1"/>
    <xf numFmtId="0" fontId="1" fillId="0" borderId="6" xfId="0" applyFont="1" applyBorder="1"/>
    <xf numFmtId="0" fontId="1" fillId="6" borderId="0" xfId="0" applyFont="1" applyFill="1"/>
    <xf numFmtId="166" fontId="1" fillId="6" borderId="0" xfId="0" applyNumberFormat="1" applyFont="1" applyFill="1"/>
    <xf numFmtId="166" fontId="1" fillId="6" borderId="3" xfId="0" applyNumberFormat="1" applyFont="1" applyFill="1" applyBorder="1"/>
    <xf numFmtId="166" fontId="1" fillId="6" borderId="1" xfId="0" applyNumberFormat="1" applyFont="1" applyFill="1" applyBorder="1"/>
    <xf numFmtId="166" fontId="1" fillId="3" borderId="0" xfId="0" applyNumberFormat="1" applyFont="1" applyFill="1"/>
    <xf numFmtId="166" fontId="1" fillId="3" borderId="1" xfId="0" applyNumberFormat="1" applyFont="1" applyFill="1" applyBorder="1"/>
    <xf numFmtId="166" fontId="1" fillId="3" borderId="2" xfId="0" applyNumberFormat="1" applyFont="1" applyFill="1" applyBorder="1"/>
    <xf numFmtId="167" fontId="1" fillId="3" borderId="1" xfId="0" applyNumberFormat="1" applyFont="1" applyFill="1" applyBorder="1"/>
    <xf numFmtId="167" fontId="1" fillId="3" borderId="2" xfId="0" applyNumberFormat="1" applyFont="1" applyFill="1" applyBorder="1"/>
    <xf numFmtId="166" fontId="1" fillId="7" borderId="1" xfId="0" applyNumberFormat="1" applyFont="1" applyFill="1" applyBorder="1"/>
    <xf numFmtId="0" fontId="0" fillId="7" borderId="0" xfId="0" applyFill="1"/>
    <xf numFmtId="0" fontId="16" fillId="7" borderId="0" xfId="0" applyFont="1" applyFill="1"/>
    <xf numFmtId="0" fontId="4" fillId="7" borderId="0" xfId="0" applyFont="1" applyFill="1"/>
    <xf numFmtId="0" fontId="4" fillId="0" borderId="0" xfId="0" applyFont="1"/>
    <xf numFmtId="0" fontId="4" fillId="4" borderId="0" xfId="0" applyFont="1" applyFill="1"/>
    <xf numFmtId="0" fontId="4" fillId="6" borderId="0" xfId="0" applyFont="1" applyFill="1"/>
    <xf numFmtId="0" fontId="4" fillId="0" borderId="0" xfId="0" applyFont="1" applyAlignment="1">
      <alignment wrapText="1"/>
    </xf>
    <xf numFmtId="166" fontId="1" fillId="7" borderId="0" xfId="0" applyNumberFormat="1" applyFont="1" applyFill="1"/>
    <xf numFmtId="166" fontId="1" fillId="7" borderId="3" xfId="0" applyNumberFormat="1" applyFont="1" applyFill="1" applyBorder="1"/>
    <xf numFmtId="166" fontId="1" fillId="8" borderId="0" xfId="0" applyNumberFormat="1" applyFont="1" applyFill="1"/>
    <xf numFmtId="0" fontId="0" fillId="8" borderId="0" xfId="0" applyFill="1"/>
    <xf numFmtId="2" fontId="1" fillId="8" borderId="0" xfId="0" applyNumberFormat="1" applyFont="1" applyFill="1"/>
    <xf numFmtId="169" fontId="1" fillId="8" borderId="0" xfId="0" applyNumberFormat="1" applyFont="1" applyFill="1"/>
    <xf numFmtId="0" fontId="0" fillId="0" borderId="0" xfId="0" applyAlignment="1">
      <alignment horizontal="center" wrapText="1"/>
    </xf>
    <xf numFmtId="169" fontId="1" fillId="4" borderId="0" xfId="0" applyNumberFormat="1" applyFont="1" applyFill="1"/>
    <xf numFmtId="0" fontId="11" fillId="0" borderId="0" xfId="0" applyFont="1" applyAlignment="1">
      <alignment horizontal="center"/>
    </xf>
    <xf numFmtId="0" fontId="1" fillId="0" borderId="7" xfId="8" applyBorder="1"/>
    <xf numFmtId="9" fontId="3" fillId="0" borderId="8" xfId="8" applyNumberFormat="1" applyFont="1" applyBorder="1"/>
    <xf numFmtId="0" fontId="1" fillId="0" borderId="9" xfId="8" applyBorder="1"/>
    <xf numFmtId="0" fontId="1" fillId="0" borderId="0" xfId="8"/>
    <xf numFmtId="0" fontId="1" fillId="0" borderId="10" xfId="8" applyBorder="1"/>
    <xf numFmtId="167" fontId="1" fillId="0" borderId="10" xfId="10" applyNumberFormat="1" applyFont="1" applyBorder="1"/>
    <xf numFmtId="0" fontId="1" fillId="0" borderId="11" xfId="8" applyBorder="1"/>
    <xf numFmtId="0" fontId="1" fillId="0" borderId="6" xfId="8" applyBorder="1"/>
    <xf numFmtId="167" fontId="1" fillId="0" borderId="0" xfId="10" applyNumberFormat="1" applyFont="1" applyBorder="1"/>
    <xf numFmtId="9" fontId="1" fillId="0" borderId="0" xfId="9" applyFont="1" applyBorder="1"/>
    <xf numFmtId="167" fontId="1" fillId="0" borderId="12" xfId="10" applyNumberFormat="1" applyFont="1" applyBorder="1"/>
    <xf numFmtId="0" fontId="0" fillId="0" borderId="13" xfId="0" applyBorder="1"/>
    <xf numFmtId="0" fontId="28" fillId="0" borderId="14" xfId="0" applyFont="1" applyBorder="1"/>
    <xf numFmtId="0" fontId="28" fillId="0" borderId="0" xfId="0" applyFont="1"/>
    <xf numFmtId="0" fontId="0" fillId="0" borderId="15" xfId="0" applyBorder="1"/>
    <xf numFmtId="0" fontId="0" fillId="0" borderId="14" xfId="0" applyBorder="1"/>
    <xf numFmtId="2" fontId="28" fillId="0" borderId="0" xfId="0" applyNumberFormat="1" applyFont="1"/>
    <xf numFmtId="9" fontId="28" fillId="0" borderId="0" xfId="9" applyFont="1" applyBorder="1"/>
    <xf numFmtId="0" fontId="0" fillId="0" borderId="16" xfId="0" applyBorder="1"/>
    <xf numFmtId="0" fontId="1" fillId="0" borderId="3" xfId="8" applyBorder="1"/>
    <xf numFmtId="0" fontId="0" fillId="0" borderId="17" xfId="0" applyBorder="1"/>
    <xf numFmtId="0" fontId="1" fillId="0" borderId="0" xfId="0" applyFont="1" applyAlignment="1">
      <alignment vertical="top"/>
    </xf>
    <xf numFmtId="0" fontId="3" fillId="0" borderId="18" xfId="0" applyFont="1" applyBorder="1"/>
    <xf numFmtId="166" fontId="1" fillId="9" borderId="0" xfId="0" applyNumberFormat="1" applyFont="1" applyFill="1"/>
    <xf numFmtId="0" fontId="6" fillId="9" borderId="2" xfId="0" applyFont="1" applyFill="1" applyBorder="1"/>
    <xf numFmtId="166" fontId="1" fillId="10" borderId="2" xfId="0" applyNumberFormat="1" applyFont="1" applyFill="1" applyBorder="1"/>
    <xf numFmtId="167" fontId="1" fillId="10" borderId="2" xfId="0" applyNumberFormat="1" applyFont="1" applyFill="1" applyBorder="1"/>
    <xf numFmtId="167" fontId="1" fillId="10" borderId="0" xfId="0" applyNumberFormat="1" applyFont="1" applyFill="1"/>
    <xf numFmtId="0" fontId="16" fillId="0" borderId="0" xfId="0" applyFont="1"/>
    <xf numFmtId="0" fontId="29" fillId="0" borderId="0" xfId="0" applyFont="1"/>
    <xf numFmtId="0" fontId="29" fillId="0" borderId="14" xfId="0" applyFont="1" applyBorder="1"/>
    <xf numFmtId="166" fontId="1" fillId="8" borderId="3" xfId="0" applyNumberFormat="1" applyFont="1" applyFill="1" applyBorder="1"/>
    <xf numFmtId="166" fontId="1" fillId="9" borderId="1" xfId="0" applyNumberFormat="1" applyFont="1" applyFill="1" applyBorder="1"/>
    <xf numFmtId="0" fontId="16" fillId="9" borderId="2" xfId="0" applyFont="1" applyFill="1" applyBorder="1"/>
    <xf numFmtId="9" fontId="3" fillId="0" borderId="5" xfId="8" applyNumberFormat="1" applyFont="1" applyBorder="1"/>
    <xf numFmtId="166" fontId="16" fillId="0" borderId="0" xfId="0" applyNumberFormat="1" applyFont="1"/>
    <xf numFmtId="9" fontId="1" fillId="0" borderId="12" xfId="9" applyFont="1" applyBorder="1"/>
    <xf numFmtId="166" fontId="4" fillId="0" borderId="0" xfId="0" applyNumberFormat="1" applyFont="1"/>
    <xf numFmtId="0" fontId="20" fillId="0" borderId="0" xfId="3" applyAlignment="1" applyProtection="1">
      <alignment wrapText="1"/>
    </xf>
    <xf numFmtId="167" fontId="0" fillId="0" borderId="0" xfId="9" applyNumberFormat="1" applyFont="1" applyBorder="1"/>
    <xf numFmtId="0" fontId="3" fillId="9" borderId="7" xfId="0" applyFont="1" applyFill="1" applyBorder="1" applyAlignment="1">
      <alignment horizontal="left"/>
    </xf>
    <xf numFmtId="0" fontId="0" fillId="9" borderId="2" xfId="0" applyFill="1" applyBorder="1"/>
    <xf numFmtId="0" fontId="0" fillId="9" borderId="8" xfId="0" applyFill="1" applyBorder="1"/>
    <xf numFmtId="0" fontId="3" fillId="9" borderId="10" xfId="0" applyFont="1" applyFill="1" applyBorder="1" applyAlignment="1">
      <alignment horizontal="left"/>
    </xf>
    <xf numFmtId="0" fontId="1" fillId="9" borderId="1" xfId="0" applyFont="1" applyFill="1" applyBorder="1" applyAlignment="1">
      <alignment horizontal="center"/>
    </xf>
    <xf numFmtId="0" fontId="1" fillId="9" borderId="19" xfId="0" applyFont="1" applyFill="1" applyBorder="1"/>
    <xf numFmtId="0" fontId="0" fillId="9" borderId="1" xfId="0" applyFill="1" applyBorder="1"/>
    <xf numFmtId="0" fontId="16" fillId="9" borderId="2" xfId="0" applyFont="1" applyFill="1" applyBorder="1" applyAlignment="1">
      <alignment horizontal="center"/>
    </xf>
    <xf numFmtId="0" fontId="16" fillId="9" borderId="8" xfId="0" applyFont="1" applyFill="1" applyBorder="1" applyAlignment="1">
      <alignment horizontal="center"/>
    </xf>
    <xf numFmtId="0" fontId="3" fillId="9" borderId="7" xfId="0" applyFont="1" applyFill="1" applyBorder="1"/>
    <xf numFmtId="0" fontId="3" fillId="9" borderId="7" xfId="8" applyFont="1" applyFill="1" applyBorder="1"/>
    <xf numFmtId="166" fontId="1" fillId="0" borderId="6" xfId="8" applyNumberFormat="1" applyBorder="1"/>
    <xf numFmtId="167" fontId="1" fillId="0" borderId="9" xfId="9" applyNumberFormat="1" applyFont="1" applyBorder="1"/>
    <xf numFmtId="166" fontId="1" fillId="0" borderId="9" xfId="8" applyNumberFormat="1" applyBorder="1"/>
    <xf numFmtId="166" fontId="1" fillId="0" borderId="0" xfId="8" applyNumberFormat="1"/>
    <xf numFmtId="167" fontId="1" fillId="0" borderId="10" xfId="9" applyNumberFormat="1" applyFont="1" applyBorder="1"/>
    <xf numFmtId="166" fontId="3" fillId="9" borderId="9" xfId="8" applyNumberFormat="1" applyFont="1" applyFill="1" applyBorder="1"/>
    <xf numFmtId="0" fontId="1" fillId="0" borderId="5" xfId="8" applyBorder="1"/>
    <xf numFmtId="9" fontId="3" fillId="0" borderId="20" xfId="9" applyFont="1" applyBorder="1"/>
    <xf numFmtId="0" fontId="0" fillId="0" borderId="9" xfId="0" applyBorder="1"/>
    <xf numFmtId="14" fontId="0" fillId="0" borderId="0" xfId="0" applyNumberFormat="1"/>
    <xf numFmtId="0" fontId="0" fillId="0" borderId="21" xfId="0" applyBorder="1"/>
    <xf numFmtId="0" fontId="1" fillId="0" borderId="9" xfId="0" applyFont="1" applyBorder="1"/>
    <xf numFmtId="0" fontId="0" fillId="0" borderId="10" xfId="0" applyBorder="1"/>
    <xf numFmtId="0" fontId="0" fillId="0" borderId="19" xfId="0" applyBorder="1"/>
    <xf numFmtId="169" fontId="0" fillId="0" borderId="0" xfId="0" applyNumberFormat="1"/>
    <xf numFmtId="14" fontId="0" fillId="0" borderId="1" xfId="0" applyNumberFormat="1" applyBorder="1"/>
    <xf numFmtId="169" fontId="0" fillId="0" borderId="1" xfId="0" applyNumberFormat="1" applyBorder="1"/>
    <xf numFmtId="2" fontId="1" fillId="0" borderId="0" xfId="0" quotePrefix="1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2" fontId="0" fillId="0" borderId="21" xfId="0" applyNumberFormat="1" applyBorder="1"/>
    <xf numFmtId="166" fontId="0" fillId="3" borderId="3" xfId="0" applyNumberFormat="1" applyFill="1" applyBorder="1"/>
    <xf numFmtId="167" fontId="0" fillId="3" borderId="3" xfId="0" applyNumberFormat="1" applyFill="1" applyBorder="1"/>
    <xf numFmtId="167" fontId="1" fillId="3" borderId="3" xfId="0" applyNumberFormat="1" applyFont="1" applyFill="1" applyBorder="1"/>
    <xf numFmtId="166" fontId="1" fillId="3" borderId="3" xfId="0" applyNumberFormat="1" applyFont="1" applyFill="1" applyBorder="1"/>
    <xf numFmtId="0" fontId="31" fillId="11" borderId="0" xfId="0" applyFont="1" applyFill="1"/>
    <xf numFmtId="166" fontId="30" fillId="11" borderId="4" xfId="0" applyNumberFormat="1" applyFont="1" applyFill="1" applyBorder="1"/>
    <xf numFmtId="167" fontId="30" fillId="11" borderId="4" xfId="0" applyNumberFormat="1" applyFont="1" applyFill="1" applyBorder="1"/>
    <xf numFmtId="0" fontId="32" fillId="0" borderId="0" xfId="0" applyFont="1"/>
    <xf numFmtId="0" fontId="31" fillId="0" borderId="0" xfId="0" applyFont="1"/>
    <xf numFmtId="166" fontId="30" fillId="0" borderId="0" xfId="0" applyNumberFormat="1" applyFont="1"/>
    <xf numFmtId="167" fontId="30" fillId="0" borderId="0" xfId="0" applyNumberFormat="1" applyFont="1"/>
    <xf numFmtId="0" fontId="32" fillId="11" borderId="1" xfId="0" applyFont="1" applyFill="1" applyBorder="1"/>
    <xf numFmtId="0" fontId="30" fillId="11" borderId="1" xfId="0" applyFont="1" applyFill="1" applyBorder="1"/>
    <xf numFmtId="166" fontId="30" fillId="11" borderId="1" xfId="0" applyNumberFormat="1" applyFont="1" applyFill="1" applyBorder="1"/>
    <xf numFmtId="167" fontId="30" fillId="11" borderId="1" xfId="0" applyNumberFormat="1" applyFont="1" applyFill="1" applyBorder="1"/>
    <xf numFmtId="0" fontId="33" fillId="0" borderId="0" xfId="0" applyFont="1"/>
    <xf numFmtId="171" fontId="0" fillId="0" borderId="0" xfId="1" applyNumberFormat="1" applyFont="1"/>
    <xf numFmtId="0" fontId="32" fillId="11" borderId="0" xfId="0" applyFont="1" applyFill="1"/>
    <xf numFmtId="0" fontId="33" fillId="11" borderId="0" xfId="0" applyFont="1" applyFill="1"/>
    <xf numFmtId="166" fontId="30" fillId="11" borderId="0" xfId="0" applyNumberFormat="1" applyFont="1" applyFill="1"/>
    <xf numFmtId="167" fontId="30" fillId="11" borderId="0" xfId="0" applyNumberFormat="1" applyFont="1" applyFill="1"/>
    <xf numFmtId="0" fontId="32" fillId="0" borderId="1" xfId="0" applyFont="1" applyBorder="1"/>
    <xf numFmtId="0" fontId="33" fillId="0" borderId="1" xfId="0" applyFont="1" applyBorder="1"/>
    <xf numFmtId="166" fontId="30" fillId="0" borderId="1" xfId="0" applyNumberFormat="1" applyFont="1" applyBorder="1"/>
    <xf numFmtId="167" fontId="30" fillId="0" borderId="1" xfId="0" applyNumberFormat="1" applyFont="1" applyBorder="1"/>
    <xf numFmtId="0" fontId="32" fillId="11" borderId="2" xfId="0" applyFont="1" applyFill="1" applyBorder="1"/>
    <xf numFmtId="0" fontId="30" fillId="9" borderId="2" xfId="0" applyFont="1" applyFill="1" applyBorder="1"/>
    <xf numFmtId="166" fontId="30" fillId="10" borderId="2" xfId="0" applyNumberFormat="1" applyFont="1" applyFill="1" applyBorder="1"/>
    <xf numFmtId="167" fontId="30" fillId="10" borderId="2" xfId="0" applyNumberFormat="1" applyFont="1" applyFill="1" applyBorder="1"/>
    <xf numFmtId="167" fontId="30" fillId="10" borderId="0" xfId="0" applyNumberFormat="1" applyFont="1" applyFill="1"/>
    <xf numFmtId="0" fontId="34" fillId="0" borderId="0" xfId="0" applyFont="1"/>
    <xf numFmtId="0" fontId="34" fillId="11" borderId="1" xfId="0" applyFont="1" applyFill="1" applyBorder="1"/>
    <xf numFmtId="0" fontId="32" fillId="0" borderId="2" xfId="0" applyFont="1" applyBorder="1"/>
    <xf numFmtId="0" fontId="34" fillId="0" borderId="2" xfId="0" applyFont="1" applyBorder="1"/>
    <xf numFmtId="166" fontId="1" fillId="9" borderId="3" xfId="0" applyNumberFormat="1" applyFont="1" applyFill="1" applyBorder="1"/>
    <xf numFmtId="0" fontId="34" fillId="11" borderId="0" xfId="0" applyFont="1" applyFill="1"/>
    <xf numFmtId="0" fontId="32" fillId="0" borderId="3" xfId="0" applyFont="1" applyBorder="1"/>
    <xf numFmtId="0" fontId="34" fillId="0" borderId="3" xfId="0" applyFont="1" applyBorder="1"/>
    <xf numFmtId="166" fontId="30" fillId="0" borderId="3" xfId="0" applyNumberFormat="1" applyFont="1" applyBorder="1"/>
    <xf numFmtId="167" fontId="30" fillId="0" borderId="3" xfId="0" applyNumberFormat="1" applyFont="1" applyBorder="1"/>
    <xf numFmtId="166" fontId="35" fillId="3" borderId="0" xfId="1" applyNumberFormat="1" applyFont="1" applyFill="1" applyBorder="1" applyAlignment="1">
      <alignment horizontal="center"/>
    </xf>
    <xf numFmtId="166" fontId="35" fillId="3" borderId="1" xfId="1" applyNumberFormat="1" applyFont="1" applyFill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166" fontId="7" fillId="3" borderId="3" xfId="0" applyNumberFormat="1" applyFont="1" applyFill="1" applyBorder="1"/>
    <xf numFmtId="2" fontId="7" fillId="3" borderId="3" xfId="0" applyNumberFormat="1" applyFont="1" applyFill="1" applyBorder="1"/>
    <xf numFmtId="166" fontId="35" fillId="3" borderId="3" xfId="1" applyNumberFormat="1" applyFont="1" applyFill="1" applyBorder="1" applyAlignment="1">
      <alignment horizontal="center"/>
    </xf>
    <xf numFmtId="172" fontId="0" fillId="0" borderId="0" xfId="0" applyNumberFormat="1"/>
    <xf numFmtId="166" fontId="7" fillId="3" borderId="0" xfId="0" applyNumberFormat="1" applyFont="1" applyFill="1" applyBorder="1"/>
    <xf numFmtId="2" fontId="7" fillId="3" borderId="0" xfId="0" applyNumberFormat="1" applyFont="1" applyFill="1" applyBorder="1"/>
    <xf numFmtId="0" fontId="1" fillId="0" borderId="3" xfId="0" applyFont="1" applyBorder="1"/>
    <xf numFmtId="166" fontId="36" fillId="3" borderId="0" xfId="1" applyNumberFormat="1" applyFont="1" applyFill="1" applyBorder="1" applyAlignment="1">
      <alignment horizontal="center"/>
    </xf>
    <xf numFmtId="166" fontId="36" fillId="3" borderId="1" xfId="1" applyNumberFormat="1" applyFont="1" applyFill="1" applyBorder="1" applyAlignment="1">
      <alignment horizontal="center"/>
    </xf>
    <xf numFmtId="0" fontId="8" fillId="0" borderId="0" xfId="0" applyFont="1" applyBorder="1"/>
    <xf numFmtId="0" fontId="1" fillId="0" borderId="0" xfId="0" applyFont="1" applyBorder="1"/>
    <xf numFmtId="0" fontId="4" fillId="4" borderId="0" xfId="0" applyFont="1" applyFill="1" applyBorder="1"/>
    <xf numFmtId="166" fontId="4" fillId="4" borderId="0" xfId="0" applyNumberFormat="1" applyFont="1" applyFill="1"/>
    <xf numFmtId="0" fontId="37" fillId="4" borderId="0" xfId="0" applyFont="1" applyFill="1" applyBorder="1" applyAlignment="1">
      <alignment horizontal="center"/>
    </xf>
    <xf numFmtId="0" fontId="4" fillId="4" borderId="7" xfId="0" applyFont="1" applyFill="1" applyBorder="1"/>
    <xf numFmtId="0" fontId="4" fillId="4" borderId="2" xfId="0" applyFont="1" applyFill="1" applyBorder="1"/>
    <xf numFmtId="166" fontId="4" fillId="4" borderId="2" xfId="0" applyNumberFormat="1" applyFont="1" applyFill="1" applyBorder="1"/>
    <xf numFmtId="166" fontId="4" fillId="4" borderId="0" xfId="0" applyNumberFormat="1" applyFont="1" applyFill="1" applyBorder="1"/>
    <xf numFmtId="0" fontId="11" fillId="4" borderId="0" xfId="0" applyFont="1" applyFill="1" applyBorder="1" applyAlignment="1">
      <alignment horizontal="center"/>
    </xf>
    <xf numFmtId="166" fontId="4" fillId="6" borderId="0" xfId="0" applyNumberFormat="1" applyFont="1" applyFill="1"/>
    <xf numFmtId="166" fontId="4" fillId="7" borderId="0" xfId="0" applyNumberFormat="1" applyFont="1" applyFill="1"/>
    <xf numFmtId="0" fontId="11" fillId="4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0" fillId="0" borderId="0" xfId="0" applyBorder="1"/>
    <xf numFmtId="167" fontId="0" fillId="3" borderId="0" xfId="0" applyNumberFormat="1" applyFill="1" applyBorder="1"/>
    <xf numFmtId="166" fontId="1" fillId="12" borderId="4" xfId="0" applyNumberFormat="1" applyFont="1" applyFill="1" applyBorder="1"/>
    <xf numFmtId="166" fontId="1" fillId="12" borderId="0" xfId="0" applyNumberFormat="1" applyFont="1" applyFill="1" applyBorder="1"/>
    <xf numFmtId="166" fontId="1" fillId="12" borderId="1" xfId="0" applyNumberFormat="1" applyFont="1" applyFill="1" applyBorder="1"/>
    <xf numFmtId="0" fontId="4" fillId="12" borderId="0" xfId="0" applyFont="1" applyFill="1" applyAlignment="1">
      <alignment vertical="top"/>
    </xf>
    <xf numFmtId="166" fontId="1" fillId="12" borderId="0" xfId="0" applyNumberFormat="1" applyFont="1" applyFill="1"/>
    <xf numFmtId="0" fontId="4" fillId="12" borderId="0" xfId="0" applyFont="1" applyFill="1" applyAlignment="1">
      <alignment horizontal="left" vertical="top" wrapText="1"/>
    </xf>
    <xf numFmtId="0" fontId="20" fillId="0" borderId="0" xfId="3" applyAlignment="1" applyProtection="1">
      <alignment horizontal="left" vertical="center" wrapText="1"/>
    </xf>
    <xf numFmtId="0" fontId="1" fillId="0" borderId="0" xfId="0" applyFont="1" applyAlignment="1">
      <alignment vertical="top" wrapText="1"/>
    </xf>
    <xf numFmtId="0" fontId="23" fillId="9" borderId="2" xfId="0" applyFont="1" applyFill="1" applyBorder="1" applyAlignment="1">
      <alignment horizontal="center" wrapText="1"/>
    </xf>
    <xf numFmtId="0" fontId="23" fillId="9" borderId="1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center"/>
    </xf>
  </cellXfs>
  <cellStyles count="11">
    <cellStyle name="Komma" xfId="1" builtinId="3"/>
    <cellStyle name="Komma 2" xfId="2" xr:uid="{00000000-0005-0000-0000-000001000000}"/>
    <cellStyle name="Link" xfId="3" builtinId="8"/>
    <cellStyle name="Link 2" xfId="4" xr:uid="{00000000-0005-0000-0000-000003000000}"/>
    <cellStyle name="Link 3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  <cellStyle name="Normal 5" xfId="8" xr:uid="{00000000-0005-0000-0000-000008000000}"/>
    <cellStyle name="Procent" xfId="9" builtinId="5"/>
    <cellStyle name="Procent 2" xfId="10" xr:uid="{00000000-0005-0000-0000-00000A000000}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"/>
      <fill>
        <patternFill patternType="lightDown">
          <fgColor rgb="FFFF0000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lightDown">
          <fgColor rgb="FFFF0000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numFmt numFmtId="166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15</xdr:row>
      <xdr:rowOff>47626</xdr:rowOff>
    </xdr:from>
    <xdr:to>
      <xdr:col>4</xdr:col>
      <xdr:colOff>333375</xdr:colOff>
      <xdr:row>31</xdr:row>
      <xdr:rowOff>57150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85725" y="2352676"/>
          <a:ext cx="6315075" cy="26003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Beregning af omkostningsindekset: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- Basis 123,7 for februar 2018. Basis starter på 123,7, da indekset er regnet på baggrund af indeks for diesel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Eksempel: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100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lønindeks x 59,9 pct.)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HVO indeks x 24,2 pct.)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forbrugerindeks x 7,4 pct.)  etc.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Det vil sige, at den procentvise ændring i hvert indeks (fra periode til periode) ganges med vægtningen (i pct.)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Forskydning: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Omkostningsindekset for en bestemt måned beregnes på basis af delindekset for 2 måneder tidligere, pånær lønindekset, der er forskudt 6 måneder. Dette betyder eksempelvis, at omkostningsindekset for april baseres på delindeks fra februar - dog lønindeks fra K4 året før.</a:t>
          </a:r>
        </a:p>
      </xdr:txBody>
    </xdr:sp>
    <xdr:clientData/>
  </xdr:twoCellAnchor>
  <xdr:twoCellAnchor>
    <xdr:from>
      <xdr:col>0</xdr:col>
      <xdr:colOff>85725</xdr:colOff>
      <xdr:row>42</xdr:row>
      <xdr:rowOff>104775</xdr:rowOff>
    </xdr:from>
    <xdr:to>
      <xdr:col>4</xdr:col>
      <xdr:colOff>321885</xdr:colOff>
      <xdr:row>53</xdr:row>
      <xdr:rowOff>76200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85725" y="7267575"/>
          <a:ext cx="6305550" cy="1752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Reelle vægte: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Udgangspunktet er de basisvægte, der er fastlagt for fordelingen af omkostninger ved busdrift:Indeks: Celle C2 til Celle G2.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Basis er 1. januar 2018.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"Reelle vægte" er et udtryk for, hvordan udviklingen i de fem delindeks (Løn, HVO, Forbrug, Maskiner og Rente) giver forskydninger i, hvor stor en andel, den enkelte omkostning udgør af de samlede omkostninger ved busdrift.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Den reele vægt for det enkelte delindeks beregnes således: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Værdi af delindeks i dag / Værdi af delindeks i basis x Basisvægt / Værdi af samlet indeks i dag x 100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76200</xdr:colOff>
      <xdr:row>31</xdr:row>
      <xdr:rowOff>104775</xdr:rowOff>
    </xdr:from>
    <xdr:to>
      <xdr:col>4</xdr:col>
      <xdr:colOff>321899</xdr:colOff>
      <xdr:row>42</xdr:row>
      <xdr:rowOff>66674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76200" y="5000625"/>
          <a:ext cx="6315075" cy="17430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Skøn: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 fremadrettede skøn beregnes på baggrund af den historiske udvikling. Dog fastlåses brændstofindeks og rente til senest kendte værdi.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Løn: 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Gennemsnitlig ændring fra forrige kalenderår til sidste kalenderår divideres med 4 for at få en ca. kvartalsmæssig udviklingsfaktor. Denne anvedes herefter på sidstkendte indeks til fremskrivning.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Maskin- samt forbrugsindeks:  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Gennemsnitlig ændring fra forrige kalenderår til sidste kalenderår divideres med 12 for tilnærmelsesvis at få en månedlig udviklingsfaktor. Denne anvedes herefter på sidstkendte indeks til fremskrivning.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el6" displayName="Tabel6" ref="A3:J269" totalsRowShown="0" headerRowDxfId="14">
  <autoFilter ref="A3:J269" xr:uid="{00000000-0009-0000-0100-000006000000}">
    <filterColumn colId="0">
      <filters>
        <filter val="2023"/>
        <filter val="2024"/>
        <filter val="2025"/>
        <filter val="2026"/>
      </filters>
    </filterColumn>
  </autoFilter>
  <tableColumns count="10">
    <tableColumn id="1" xr3:uid="{00000000-0010-0000-0000-000001000000}" name="År"/>
    <tableColumn id="2" xr3:uid="{00000000-0010-0000-0000-000002000000}" name="Måned"/>
    <tableColumn id="3" xr3:uid="{00000000-0010-0000-0000-000003000000}" name="Løn"/>
    <tableColumn id="4" xr3:uid="{00000000-0010-0000-0000-000004000000}" name="Diesel"/>
    <tableColumn id="5" xr3:uid="{00000000-0010-0000-0000-000005000000}" name="Forbrug"/>
    <tableColumn id="6" xr3:uid="{00000000-0010-0000-0000-000006000000}" name="Maskiner" dataDxfId="13"/>
    <tableColumn id="7" xr3:uid="{00000000-0010-0000-0000-000007000000}" name="Rente"/>
    <tableColumn id="8" xr3:uid="{00000000-0010-0000-0000-000008000000}" name="Indeks" dataDxfId="12"/>
    <tableColumn id="9" xr3:uid="{00000000-0010-0000-0000-000009000000}" name="∆ Måned"/>
    <tableColumn id="10" xr3:uid="{00000000-0010-0000-0000-00000A000000}" name="Note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Tabel7" displayName="Tabel7" ref="A3:H267" totalsRowShown="0" headerRowDxfId="11">
  <autoFilter ref="A3:H267" xr:uid="{00000000-0009-0000-0100-000007000000}">
    <filterColumn colId="0">
      <filters>
        <filter val="2023"/>
        <filter val="2024"/>
        <filter val="2025"/>
        <filter val="2026"/>
      </filters>
    </filterColumn>
  </autoFilter>
  <tableColumns count="8">
    <tableColumn id="1" xr3:uid="{00000000-0010-0000-0100-000001000000}" name="År"/>
    <tableColumn id="2" xr3:uid="{00000000-0010-0000-0100-000002000000}" name="Måned"/>
    <tableColumn id="3" xr3:uid="{00000000-0010-0000-0100-000003000000}" name="Løn"/>
    <tableColumn id="4" xr3:uid="{00000000-0010-0000-0100-000004000000}" name="HVO"/>
    <tableColumn id="5" xr3:uid="{00000000-0010-0000-0100-000005000000}" name="Forbrug"/>
    <tableColumn id="6" xr3:uid="{00000000-0010-0000-0100-000006000000}" name="Maskiner"/>
    <tableColumn id="7" xr3:uid="{00000000-0010-0000-0100-000007000000}" name="Rente"/>
    <tableColumn id="8" xr3:uid="{00000000-0010-0000-0100-000008000000}" name="I alt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2000000}" name="Tabel20" displayName="Tabel20" ref="A2:H194" totalsRowShown="0" headerRowDxfId="10" dataDxfId="9" tableBorderDxfId="8">
  <tableColumns count="8">
    <tableColumn id="1" xr3:uid="{00000000-0010-0000-0200-000001000000}" name="År" dataDxfId="7">
      <calculatedColumnFormula>A2</calculatedColumnFormula>
    </tableColumn>
    <tableColumn id="2" xr3:uid="{00000000-0010-0000-0200-000002000000}" name="Måned" dataDxfId="6"/>
    <tableColumn id="3" xr3:uid="{00000000-0010-0000-0200-000003000000}" name="Indeks" dataDxfId="5"/>
    <tableColumn id="4" xr3:uid="{00000000-0010-0000-0200-000004000000}" name="∆ Måned" dataDxfId="4">
      <calculatedColumnFormula>(C3-C2)/C2</calculatedColumnFormula>
    </tableColumn>
    <tableColumn id="5" xr3:uid="{00000000-0010-0000-0200-000005000000}" name="∆ Kvartal" dataDxfId="3"/>
    <tableColumn id="9" xr3:uid="{00000000-0010-0000-0200-000009000000}" name="∆ Halvår" dataDxfId="2"/>
    <tableColumn id="6" xr3:uid="{00000000-0010-0000-0200-000006000000}" name="∆ År" dataDxfId="1"/>
    <tableColumn id="7" xr3:uid="{00000000-0010-0000-0200-000007000000}" name="Kolonne1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nationalbanken.dk/da/statistik/valutakurs/Sider/default.aspx" TargetMode="External"/><Relationship Id="rId1" Type="http://schemas.openxmlformats.org/officeDocument/2006/relationships/hyperlink" Target="http://www.svenskkollektivtrafik.se/partnersamverkan/index/hvo-index/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Q276"/>
  <sheetViews>
    <sheetView tabSelected="1" view="pageBreakPreview" topLeftCell="A3" zoomScaleNormal="90" zoomScaleSheetLayoutView="100" workbookViewId="0">
      <selection activeCell="D247" sqref="D247"/>
    </sheetView>
  </sheetViews>
  <sheetFormatPr defaultRowHeight="12.75" x14ac:dyDescent="0.2"/>
  <cols>
    <col min="1" max="1" width="5.5703125" customWidth="1"/>
    <col min="2" max="2" width="9.5703125" customWidth="1"/>
    <col min="3" max="3" width="8.5703125" customWidth="1"/>
    <col min="4" max="4" width="9.5703125" bestFit="1" customWidth="1"/>
    <col min="5" max="5" width="10.140625" customWidth="1"/>
    <col min="6" max="6" width="11.140625" customWidth="1"/>
    <col min="7" max="7" width="8.140625" customWidth="1"/>
    <col min="8" max="8" width="10.42578125" style="40" customWidth="1"/>
    <col min="9" max="9" width="10.85546875" hidden="1" customWidth="1"/>
    <col min="10" max="10" width="21.5703125" customWidth="1"/>
    <col min="11" max="11" width="31.28515625" customWidth="1"/>
    <col min="12" max="12" width="19.7109375" customWidth="1"/>
    <col min="13" max="13" width="13.7109375" customWidth="1"/>
  </cols>
  <sheetData>
    <row r="1" spans="1:10" ht="20.25" x14ac:dyDescent="0.3">
      <c r="A1" s="27"/>
      <c r="C1" s="2"/>
      <c r="I1" s="41" t="s">
        <v>31</v>
      </c>
      <c r="J1" s="73" t="s">
        <v>31</v>
      </c>
    </row>
    <row r="2" spans="1:10" hidden="1" x14ac:dyDescent="0.2">
      <c r="A2" t="s">
        <v>69</v>
      </c>
      <c r="B2" s="2" t="s">
        <v>28</v>
      </c>
      <c r="C2" s="3">
        <v>0.6</v>
      </c>
      <c r="D2" s="3">
        <v>0.17</v>
      </c>
      <c r="E2" s="3">
        <v>0.08</v>
      </c>
      <c r="F2" s="3">
        <v>0.09</v>
      </c>
      <c r="G2" s="3">
        <v>0.06</v>
      </c>
    </row>
    <row r="3" spans="1:10" ht="16.5" thickBot="1" x14ac:dyDescent="0.3">
      <c r="A3" s="138" t="s">
        <v>1</v>
      </c>
      <c r="B3" s="138" t="s">
        <v>2</v>
      </c>
      <c r="C3" s="138" t="s">
        <v>3</v>
      </c>
      <c r="D3" s="138" t="s">
        <v>4</v>
      </c>
      <c r="E3" s="138" t="s">
        <v>5</v>
      </c>
      <c r="F3" s="138" t="s">
        <v>6</v>
      </c>
      <c r="G3" s="138" t="s">
        <v>7</v>
      </c>
      <c r="H3" s="139" t="s">
        <v>0</v>
      </c>
      <c r="I3" s="2" t="s">
        <v>20</v>
      </c>
      <c r="J3" s="140" t="s">
        <v>46</v>
      </c>
    </row>
    <row r="4" spans="1:10" ht="15" hidden="1" x14ac:dyDescent="0.2">
      <c r="A4" s="2">
        <v>2005</v>
      </c>
      <c r="B4" t="s">
        <v>8</v>
      </c>
      <c r="C4" s="84" t="s">
        <v>19</v>
      </c>
      <c r="D4" s="82" t="s">
        <v>19</v>
      </c>
      <c r="E4" s="82" t="s">
        <v>19</v>
      </c>
      <c r="F4" s="82" t="s">
        <v>19</v>
      </c>
      <c r="G4" s="82" t="s">
        <v>19</v>
      </c>
      <c r="H4" s="67" t="s">
        <v>19</v>
      </c>
      <c r="I4" t="s">
        <v>19</v>
      </c>
    </row>
    <row r="5" spans="1:10" ht="15" hidden="1" x14ac:dyDescent="0.2">
      <c r="A5" s="10">
        <f>A4</f>
        <v>2005</v>
      </c>
      <c r="B5" t="s">
        <v>9</v>
      </c>
      <c r="C5" s="84" t="s">
        <v>19</v>
      </c>
      <c r="D5" s="82" t="s">
        <v>19</v>
      </c>
      <c r="E5" s="82" t="s">
        <v>19</v>
      </c>
      <c r="F5" s="82" t="s">
        <v>19</v>
      </c>
      <c r="G5" s="82" t="s">
        <v>19</v>
      </c>
      <c r="H5" s="67" t="s">
        <v>19</v>
      </c>
      <c r="I5" s="4" t="e">
        <f t="shared" ref="I5:I36" si="0">(H5-H4)/H4*100</f>
        <v>#VALUE!</v>
      </c>
    </row>
    <row r="6" spans="1:10" ht="15" hidden="1" x14ac:dyDescent="0.2">
      <c r="A6" s="12">
        <f t="shared" ref="A6:A15" si="1">A5</f>
        <v>2005</v>
      </c>
      <c r="B6" s="13" t="s">
        <v>10</v>
      </c>
      <c r="C6" s="88" t="s">
        <v>19</v>
      </c>
      <c r="D6" s="89" t="s">
        <v>19</v>
      </c>
      <c r="E6" s="89" t="s">
        <v>19</v>
      </c>
      <c r="F6" s="88" t="s">
        <v>19</v>
      </c>
      <c r="G6" s="89" t="s">
        <v>19</v>
      </c>
      <c r="H6" s="68" t="s">
        <v>19</v>
      </c>
      <c r="I6" s="4" t="e">
        <f t="shared" si="0"/>
        <v>#VALUE!</v>
      </c>
    </row>
    <row r="7" spans="1:10" ht="15" hidden="1" x14ac:dyDescent="0.2">
      <c r="A7" s="17">
        <f t="shared" si="1"/>
        <v>2005</v>
      </c>
      <c r="B7" s="18" t="s">
        <v>11</v>
      </c>
      <c r="C7" s="90" t="s">
        <v>19</v>
      </c>
      <c r="D7" s="91" t="s">
        <v>19</v>
      </c>
      <c r="E7" s="91" t="s">
        <v>19</v>
      </c>
      <c r="F7" s="91" t="s">
        <v>19</v>
      </c>
      <c r="G7" s="91" t="s">
        <v>19</v>
      </c>
      <c r="H7" s="69" t="s">
        <v>19</v>
      </c>
      <c r="I7" s="4" t="e">
        <f t="shared" si="0"/>
        <v>#VALUE!</v>
      </c>
    </row>
    <row r="8" spans="1:10" ht="15" hidden="1" x14ac:dyDescent="0.2">
      <c r="A8" s="10">
        <f t="shared" si="1"/>
        <v>2005</v>
      </c>
      <c r="B8" t="s">
        <v>12</v>
      </c>
      <c r="C8" s="84" t="s">
        <v>19</v>
      </c>
      <c r="D8" s="82" t="s">
        <v>19</v>
      </c>
      <c r="E8" s="82" t="s">
        <v>19</v>
      </c>
      <c r="F8" s="82" t="s">
        <v>19</v>
      </c>
      <c r="G8" s="82" t="s">
        <v>19</v>
      </c>
      <c r="H8" s="67" t="s">
        <v>19</v>
      </c>
      <c r="I8" s="4" t="e">
        <f t="shared" si="0"/>
        <v>#VALUE!</v>
      </c>
    </row>
    <row r="9" spans="1:10" ht="15" hidden="1" x14ac:dyDescent="0.2">
      <c r="A9" s="12">
        <f t="shared" si="1"/>
        <v>2005</v>
      </c>
      <c r="B9" s="13" t="s">
        <v>13</v>
      </c>
      <c r="C9" s="88" t="s">
        <v>19</v>
      </c>
      <c r="D9" s="89" t="s">
        <v>19</v>
      </c>
      <c r="E9" s="89" t="s">
        <v>19</v>
      </c>
      <c r="F9" s="89" t="s">
        <v>19</v>
      </c>
      <c r="G9" s="92" t="s">
        <v>19</v>
      </c>
      <c r="H9" s="68" t="s">
        <v>19</v>
      </c>
      <c r="I9" s="4" t="e">
        <f t="shared" si="0"/>
        <v>#VALUE!</v>
      </c>
    </row>
    <row r="10" spans="1:10" ht="15" hidden="1" x14ac:dyDescent="0.2">
      <c r="A10" s="93">
        <f t="shared" si="1"/>
        <v>2005</v>
      </c>
      <c r="B10" s="22" t="s">
        <v>30</v>
      </c>
      <c r="C10" s="19">
        <v>100</v>
      </c>
      <c r="D10" s="19">
        <v>117.3</v>
      </c>
      <c r="E10" s="18">
        <v>110.3</v>
      </c>
      <c r="F10" s="19">
        <v>99.4</v>
      </c>
      <c r="G10" s="23">
        <v>3.36</v>
      </c>
      <c r="H10" s="69">
        <f t="shared" ref="H10:H35" si="2">100+((C10-$C$40)/$C$40*100*$C$2)+((D10-$D$40)/$D$40*100*$D$2)+((E10-$E$40)/$E$40*100*$E$2)+((F10-$F$40)/$F$40*100*$F$2)+((G10-$G$40)/$G$40*100*$G$2)</f>
        <v>90.292328719285351</v>
      </c>
      <c r="I10" s="4" t="e">
        <f t="shared" si="0"/>
        <v>#VALUE!</v>
      </c>
    </row>
    <row r="11" spans="1:10" ht="15" hidden="1" x14ac:dyDescent="0.2">
      <c r="A11" s="10">
        <f t="shared" si="1"/>
        <v>2005</v>
      </c>
      <c r="B11" t="s">
        <v>14</v>
      </c>
      <c r="C11" s="11">
        <v>100</v>
      </c>
      <c r="D11">
        <v>122.9</v>
      </c>
      <c r="E11">
        <v>110.4</v>
      </c>
      <c r="F11">
        <v>99.8</v>
      </c>
      <c r="G11">
        <v>3.3</v>
      </c>
      <c r="H11" s="67">
        <f t="shared" si="2"/>
        <v>90.92752527499178</v>
      </c>
      <c r="I11" s="4">
        <f t="shared" si="0"/>
        <v>0.70348895051895877</v>
      </c>
    </row>
    <row r="12" spans="1:10" ht="15" hidden="1" x14ac:dyDescent="0.2">
      <c r="A12" s="12">
        <f t="shared" si="1"/>
        <v>2005</v>
      </c>
      <c r="B12" s="13" t="s">
        <v>15</v>
      </c>
      <c r="C12" s="14">
        <v>100</v>
      </c>
      <c r="D12" s="13">
        <v>127</v>
      </c>
      <c r="E12" s="13">
        <v>110.3</v>
      </c>
      <c r="F12" s="14">
        <v>100</v>
      </c>
      <c r="G12" s="13">
        <v>3.29</v>
      </c>
      <c r="H12" s="68">
        <f t="shared" si="2"/>
        <v>91.414653079921692</v>
      </c>
      <c r="I12" s="4">
        <f t="shared" si="0"/>
        <v>0.53573195075604807</v>
      </c>
    </row>
    <row r="13" spans="1:10" ht="15" hidden="1" x14ac:dyDescent="0.2">
      <c r="A13" s="17">
        <f t="shared" si="1"/>
        <v>2005</v>
      </c>
      <c r="B13" s="18" t="s">
        <v>16</v>
      </c>
      <c r="C13" s="19">
        <v>100.5</v>
      </c>
      <c r="D13" s="18">
        <v>126.5</v>
      </c>
      <c r="E13" s="18">
        <v>110.3</v>
      </c>
      <c r="F13" s="18">
        <v>100.1</v>
      </c>
      <c r="G13" s="18">
        <v>3.29</v>
      </c>
      <c r="H13" s="69">
        <f t="shared" si="2"/>
        <v>91.640641159377168</v>
      </c>
      <c r="I13" s="4">
        <f t="shared" si="0"/>
        <v>0.24721209548090717</v>
      </c>
    </row>
    <row r="14" spans="1:10" ht="15" hidden="1" x14ac:dyDescent="0.2">
      <c r="A14" s="10">
        <f t="shared" si="1"/>
        <v>2005</v>
      </c>
      <c r="B14" t="s">
        <v>17</v>
      </c>
      <c r="C14" s="11">
        <v>100.5</v>
      </c>
      <c r="D14">
        <v>130.19999999999999</v>
      </c>
      <c r="E14">
        <v>111.2</v>
      </c>
      <c r="F14" s="11">
        <v>100</v>
      </c>
      <c r="G14" s="21">
        <v>3.34</v>
      </c>
      <c r="H14" s="67">
        <f t="shared" si="2"/>
        <v>92.197079298895403</v>
      </c>
      <c r="I14" s="4">
        <f t="shared" si="0"/>
        <v>0.60719581670156986</v>
      </c>
    </row>
    <row r="15" spans="1:10" ht="15.75" hidden="1" thickBot="1" x14ac:dyDescent="0.25">
      <c r="A15" s="30">
        <f t="shared" si="1"/>
        <v>2005</v>
      </c>
      <c r="B15" s="31" t="s">
        <v>18</v>
      </c>
      <c r="C15" s="32">
        <v>100.5</v>
      </c>
      <c r="D15" s="31">
        <v>132.80000000000001</v>
      </c>
      <c r="E15" s="31">
        <v>111.1</v>
      </c>
      <c r="F15" s="31">
        <v>100.1</v>
      </c>
      <c r="G15" s="58">
        <v>3.72</v>
      </c>
      <c r="H15" s="70">
        <f t="shared" si="2"/>
        <v>92.986932917933089</v>
      </c>
      <c r="I15" s="4">
        <f t="shared" si="0"/>
        <v>0.85670134568693324</v>
      </c>
    </row>
    <row r="16" spans="1:10" ht="15" hidden="1" x14ac:dyDescent="0.2">
      <c r="A16" s="2">
        <v>2006</v>
      </c>
      <c r="B16" t="s">
        <v>8</v>
      </c>
      <c r="C16" s="11">
        <v>101.3</v>
      </c>
      <c r="D16">
        <v>125.9</v>
      </c>
      <c r="E16">
        <v>110.8</v>
      </c>
      <c r="F16" s="11">
        <v>99.9</v>
      </c>
      <c r="G16">
        <v>3.8</v>
      </c>
      <c r="H16" s="67">
        <f t="shared" si="2"/>
        <v>92.668805416705865</v>
      </c>
      <c r="I16" s="4">
        <f t="shared" si="0"/>
        <v>-0.34212065205763015</v>
      </c>
    </row>
    <row r="17" spans="1:9" ht="15" hidden="1" x14ac:dyDescent="0.2">
      <c r="A17" s="10">
        <f>A16</f>
        <v>2006</v>
      </c>
      <c r="B17" t="s">
        <v>9</v>
      </c>
      <c r="C17" s="11">
        <v>101.3</v>
      </c>
      <c r="D17" s="11">
        <v>125.1</v>
      </c>
      <c r="E17">
        <v>110.8</v>
      </c>
      <c r="F17">
        <v>99.4</v>
      </c>
      <c r="G17">
        <v>3.69</v>
      </c>
      <c r="H17" s="67">
        <f t="shared" si="2"/>
        <v>92.388858566310347</v>
      </c>
      <c r="I17" s="4">
        <f t="shared" si="0"/>
        <v>-0.30209394535375206</v>
      </c>
    </row>
    <row r="18" spans="1:9" ht="15" hidden="1" x14ac:dyDescent="0.2">
      <c r="A18" s="12">
        <f t="shared" ref="A18:A27" si="3">A17</f>
        <v>2006</v>
      </c>
      <c r="B18" s="13" t="s">
        <v>10</v>
      </c>
      <c r="C18" s="14">
        <v>101.3</v>
      </c>
      <c r="D18" s="13">
        <v>126.1</v>
      </c>
      <c r="E18" s="13">
        <v>110.4</v>
      </c>
      <c r="F18" s="14">
        <v>99.8</v>
      </c>
      <c r="G18" s="15">
        <v>3.71</v>
      </c>
      <c r="H18" s="68">
        <f t="shared" si="2"/>
        <v>92.542432970583306</v>
      </c>
      <c r="I18" s="4">
        <f t="shared" si="0"/>
        <v>0.16622610848983904</v>
      </c>
    </row>
    <row r="19" spans="1:9" ht="15" hidden="1" x14ac:dyDescent="0.2">
      <c r="A19" s="17">
        <f t="shared" si="3"/>
        <v>2006</v>
      </c>
      <c r="B19" s="18" t="s">
        <v>11</v>
      </c>
      <c r="C19" s="19">
        <v>102.1</v>
      </c>
      <c r="D19" s="18">
        <v>126</v>
      </c>
      <c r="E19" s="18">
        <v>111.5</v>
      </c>
      <c r="F19" s="18">
        <v>99.4</v>
      </c>
      <c r="G19" s="18">
        <v>3.81</v>
      </c>
      <c r="H19" s="69">
        <f t="shared" si="2"/>
        <v>93.137418618440705</v>
      </c>
      <c r="I19" s="4">
        <f t="shared" si="0"/>
        <v>0.64293279175675955</v>
      </c>
    </row>
    <row r="20" spans="1:9" ht="15" hidden="1" x14ac:dyDescent="0.2">
      <c r="A20" s="10">
        <f t="shared" si="3"/>
        <v>2006</v>
      </c>
      <c r="B20" t="s">
        <v>12</v>
      </c>
      <c r="C20" s="11">
        <v>102.1</v>
      </c>
      <c r="D20">
        <v>127.5</v>
      </c>
      <c r="E20">
        <v>111.9</v>
      </c>
      <c r="F20" s="11">
        <v>99.5</v>
      </c>
      <c r="G20" s="21">
        <v>4</v>
      </c>
      <c r="H20" s="67">
        <f t="shared" si="2"/>
        <v>93.591958180466236</v>
      </c>
      <c r="I20" s="4">
        <f t="shared" si="0"/>
        <v>0.4880310929462825</v>
      </c>
    </row>
    <row r="21" spans="1:9" ht="15" hidden="1" x14ac:dyDescent="0.2">
      <c r="A21" s="12">
        <f t="shared" si="3"/>
        <v>2006</v>
      </c>
      <c r="B21" s="13" t="s">
        <v>13</v>
      </c>
      <c r="C21" s="14">
        <v>102.1</v>
      </c>
      <c r="D21" s="13">
        <v>128.9</v>
      </c>
      <c r="E21" s="13">
        <v>112.4</v>
      </c>
      <c r="F21" s="14">
        <v>99.4</v>
      </c>
      <c r="G21" s="13">
        <v>4.13</v>
      </c>
      <c r="H21" s="68">
        <f t="shared" si="2"/>
        <v>93.947510099286887</v>
      </c>
      <c r="I21" s="4">
        <f t="shared" si="0"/>
        <v>0.37989580059332462</v>
      </c>
    </row>
    <row r="22" spans="1:9" ht="15" hidden="1" x14ac:dyDescent="0.2">
      <c r="A22" s="17">
        <f t="shared" si="3"/>
        <v>2006</v>
      </c>
      <c r="B22" s="22" t="s">
        <v>30</v>
      </c>
      <c r="C22" s="19">
        <v>102.9</v>
      </c>
      <c r="D22" s="18">
        <v>130.30000000000001</v>
      </c>
      <c r="E22" s="18">
        <v>112.5</v>
      </c>
      <c r="F22" s="19">
        <v>98.8</v>
      </c>
      <c r="G22" s="23">
        <v>4.0999999999999996</v>
      </c>
      <c r="H22" s="69">
        <f t="shared" si="2"/>
        <v>94.469743503759759</v>
      </c>
      <c r="I22" s="4">
        <f t="shared" si="0"/>
        <v>0.55587785553971292</v>
      </c>
    </row>
    <row r="23" spans="1:9" ht="15" hidden="1" x14ac:dyDescent="0.2">
      <c r="A23" s="10">
        <f t="shared" si="3"/>
        <v>2006</v>
      </c>
      <c r="B23" t="s">
        <v>14</v>
      </c>
      <c r="C23" s="11">
        <v>102.9</v>
      </c>
      <c r="D23">
        <v>130.30000000000001</v>
      </c>
      <c r="E23">
        <v>112.8</v>
      </c>
      <c r="F23" s="11">
        <v>98</v>
      </c>
      <c r="G23">
        <v>4.21</v>
      </c>
      <c r="H23" s="67">
        <f t="shared" si="2"/>
        <v>94.554737143960054</v>
      </c>
      <c r="I23" s="4">
        <f t="shared" si="0"/>
        <v>8.9969165838703374E-2</v>
      </c>
    </row>
    <row r="24" spans="1:9" ht="15" hidden="1" x14ac:dyDescent="0.2">
      <c r="A24" s="12">
        <f t="shared" si="3"/>
        <v>2006</v>
      </c>
      <c r="B24" s="13" t="s">
        <v>15</v>
      </c>
      <c r="C24" s="14">
        <v>102.9</v>
      </c>
      <c r="D24" s="13">
        <v>131.19999999999999</v>
      </c>
      <c r="E24" s="13">
        <v>112.5</v>
      </c>
      <c r="F24" s="14">
        <v>98.3</v>
      </c>
      <c r="G24" s="15">
        <v>4.16</v>
      </c>
      <c r="H24" s="68">
        <f t="shared" si="2"/>
        <v>94.606014083732617</v>
      </c>
      <c r="I24" s="4">
        <f t="shared" si="0"/>
        <v>5.4229900395676663E-2</v>
      </c>
    </row>
    <row r="25" spans="1:9" ht="15" hidden="1" x14ac:dyDescent="0.2">
      <c r="A25" s="17">
        <f t="shared" si="3"/>
        <v>2006</v>
      </c>
      <c r="B25" s="18" t="s">
        <v>16</v>
      </c>
      <c r="C25" s="19">
        <v>103.7</v>
      </c>
      <c r="D25" s="18">
        <v>133.9</v>
      </c>
      <c r="E25" s="18">
        <v>112.5</v>
      </c>
      <c r="F25" s="19">
        <v>98.2</v>
      </c>
      <c r="G25" s="18">
        <v>4.1500000000000004</v>
      </c>
      <c r="H25" s="69">
        <f t="shared" si="2"/>
        <v>95.347584194028585</v>
      </c>
      <c r="I25" s="4">
        <f t="shared" si="0"/>
        <v>0.78385091844121924</v>
      </c>
    </row>
    <row r="26" spans="1:9" ht="15" hidden="1" x14ac:dyDescent="0.2">
      <c r="A26" s="10">
        <f t="shared" si="3"/>
        <v>2006</v>
      </c>
      <c r="B26" t="s">
        <v>17</v>
      </c>
      <c r="C26" s="11">
        <v>103.7</v>
      </c>
      <c r="D26">
        <v>128.4</v>
      </c>
      <c r="E26">
        <v>112.9</v>
      </c>
      <c r="F26" s="11">
        <v>97.8</v>
      </c>
      <c r="G26" s="21">
        <v>4.1399999999999997</v>
      </c>
      <c r="H26" s="67">
        <f t="shared" si="2"/>
        <v>94.670874120393549</v>
      </c>
      <c r="I26" s="4">
        <f t="shared" si="0"/>
        <v>-0.70972964795621607</v>
      </c>
    </row>
    <row r="27" spans="1:9" ht="15.75" hidden="1" thickBot="1" x14ac:dyDescent="0.25">
      <c r="A27" s="30">
        <f t="shared" si="3"/>
        <v>2006</v>
      </c>
      <c r="B27" s="31" t="s">
        <v>18</v>
      </c>
      <c r="C27" s="32">
        <v>103.7</v>
      </c>
      <c r="D27" s="31">
        <v>124.1</v>
      </c>
      <c r="E27" s="31">
        <v>112.8</v>
      </c>
      <c r="F27" s="32">
        <v>97.5</v>
      </c>
      <c r="G27" s="31">
        <v>4.3499999999999996</v>
      </c>
      <c r="H27" s="70">
        <f t="shared" si="2"/>
        <v>94.388387509788657</v>
      </c>
      <c r="I27" s="4">
        <f t="shared" si="0"/>
        <v>-0.29838808739174794</v>
      </c>
    </row>
    <row r="28" spans="1:9" ht="15" hidden="1" x14ac:dyDescent="0.2">
      <c r="A28" s="2">
        <v>2007</v>
      </c>
      <c r="B28" t="s">
        <v>8</v>
      </c>
      <c r="C28" s="11">
        <v>104.4</v>
      </c>
      <c r="D28">
        <v>123.7</v>
      </c>
      <c r="E28">
        <v>112.7</v>
      </c>
      <c r="F28" s="11">
        <v>97.4</v>
      </c>
      <c r="G28" s="21">
        <v>4.3</v>
      </c>
      <c r="H28" s="67">
        <f t="shared" si="2"/>
        <v>94.648420509917301</v>
      </c>
      <c r="I28" s="4">
        <f t="shared" si="0"/>
        <v>0.27549257592908527</v>
      </c>
    </row>
    <row r="29" spans="1:9" ht="15" hidden="1" x14ac:dyDescent="0.2">
      <c r="A29" s="10">
        <f>A28</f>
        <v>2007</v>
      </c>
      <c r="B29" t="s">
        <v>9</v>
      </c>
      <c r="C29" s="11">
        <v>104.4</v>
      </c>
      <c r="D29">
        <v>123.1</v>
      </c>
      <c r="E29">
        <v>112.8</v>
      </c>
      <c r="F29" s="11">
        <v>97.6</v>
      </c>
      <c r="G29">
        <v>4.37</v>
      </c>
      <c r="H29" s="67">
        <f t="shared" si="2"/>
        <v>94.690506249993803</v>
      </c>
      <c r="I29" s="4">
        <f t="shared" si="0"/>
        <v>4.4465337984263359E-2</v>
      </c>
    </row>
    <row r="30" spans="1:9" ht="15" hidden="1" x14ac:dyDescent="0.2">
      <c r="A30" s="12">
        <f t="shared" ref="A30:A39" si="4">A29</f>
        <v>2007</v>
      </c>
      <c r="B30" s="13" t="s">
        <v>10</v>
      </c>
      <c r="C30" s="14">
        <v>104.4</v>
      </c>
      <c r="D30" s="13">
        <v>118.5</v>
      </c>
      <c r="E30" s="13">
        <v>112.4</v>
      </c>
      <c r="F30" s="14">
        <v>97.9</v>
      </c>
      <c r="G30" s="15">
        <v>4.46</v>
      </c>
      <c r="H30" s="68">
        <f t="shared" si="2"/>
        <v>94.256195507008883</v>
      </c>
      <c r="I30" s="4">
        <f t="shared" si="0"/>
        <v>-0.45866345020723576</v>
      </c>
    </row>
    <row r="31" spans="1:9" ht="15" hidden="1" x14ac:dyDescent="0.2">
      <c r="A31" s="17">
        <f t="shared" si="4"/>
        <v>2007</v>
      </c>
      <c r="B31" s="18" t="s">
        <v>11</v>
      </c>
      <c r="C31" s="19">
        <v>105.3</v>
      </c>
      <c r="D31" s="18">
        <v>122.2</v>
      </c>
      <c r="E31" s="18">
        <v>113.6</v>
      </c>
      <c r="F31" s="19">
        <v>98.3</v>
      </c>
      <c r="G31" s="18">
        <v>4.4400000000000004</v>
      </c>
      <c r="H31" s="69">
        <f t="shared" si="2"/>
        <v>95.288944097184881</v>
      </c>
      <c r="I31" s="4">
        <f t="shared" si="0"/>
        <v>1.095682447844188</v>
      </c>
    </row>
    <row r="32" spans="1:9" ht="15" hidden="1" x14ac:dyDescent="0.2">
      <c r="A32" s="10">
        <f t="shared" si="4"/>
        <v>2007</v>
      </c>
      <c r="B32" t="s">
        <v>12</v>
      </c>
      <c r="C32" s="11">
        <v>105.3</v>
      </c>
      <c r="D32">
        <v>123.2</v>
      </c>
      <c r="E32">
        <v>114.1</v>
      </c>
      <c r="F32" s="11">
        <v>98</v>
      </c>
      <c r="G32" s="21">
        <v>4.4800000000000004</v>
      </c>
      <c r="H32" s="67">
        <f t="shared" si="2"/>
        <v>95.46513183110342</v>
      </c>
      <c r="I32" s="4">
        <f t="shared" si="0"/>
        <v>0.18489840095073951</v>
      </c>
    </row>
    <row r="33" spans="1:10" ht="15" hidden="1" x14ac:dyDescent="0.2">
      <c r="A33" s="12">
        <f t="shared" si="4"/>
        <v>2007</v>
      </c>
      <c r="B33" s="13" t="s">
        <v>13</v>
      </c>
      <c r="C33" s="14">
        <v>105.3</v>
      </c>
      <c r="D33" s="13">
        <v>125.1</v>
      </c>
      <c r="E33" s="13">
        <v>114.3</v>
      </c>
      <c r="F33" s="14">
        <v>97.8</v>
      </c>
      <c r="G33" s="13">
        <v>4.59</v>
      </c>
      <c r="H33" s="68">
        <f t="shared" si="2"/>
        <v>95.825002310907621</v>
      </c>
      <c r="I33" s="4">
        <f t="shared" si="0"/>
        <v>0.37696536201393649</v>
      </c>
    </row>
    <row r="34" spans="1:10" ht="15" hidden="1" x14ac:dyDescent="0.2">
      <c r="A34" s="17">
        <f t="shared" si="4"/>
        <v>2007</v>
      </c>
      <c r="B34" s="22" t="s">
        <v>30</v>
      </c>
      <c r="C34" s="19">
        <v>106.3</v>
      </c>
      <c r="D34" s="18">
        <v>124.8</v>
      </c>
      <c r="E34" s="18">
        <v>114.5</v>
      </c>
      <c r="F34" s="19">
        <v>97.6</v>
      </c>
      <c r="G34" s="23">
        <v>4.7699999999999996</v>
      </c>
      <c r="H34" s="69">
        <f t="shared" si="2"/>
        <v>96.5635045311178</v>
      </c>
      <c r="I34" s="4">
        <f t="shared" si="0"/>
        <v>0.77067800928830954</v>
      </c>
    </row>
    <row r="35" spans="1:10" ht="15" hidden="1" x14ac:dyDescent="0.2">
      <c r="A35" s="10">
        <f t="shared" si="4"/>
        <v>2007</v>
      </c>
      <c r="B35" t="s">
        <v>14</v>
      </c>
      <c r="C35" s="11">
        <v>106.3</v>
      </c>
      <c r="D35" s="11">
        <v>127.6</v>
      </c>
      <c r="E35">
        <v>114.4</v>
      </c>
      <c r="F35" s="11">
        <v>97.6</v>
      </c>
      <c r="G35">
        <v>4.91</v>
      </c>
      <c r="H35" s="67">
        <f t="shared" si="2"/>
        <v>97.06601208645553</v>
      </c>
      <c r="I35" s="4">
        <f t="shared" si="0"/>
        <v>0.52039076023363984</v>
      </c>
    </row>
    <row r="36" spans="1:10" ht="15" hidden="1" x14ac:dyDescent="0.2">
      <c r="A36" s="12">
        <f t="shared" si="4"/>
        <v>2007</v>
      </c>
      <c r="B36" s="13" t="s">
        <v>15</v>
      </c>
      <c r="C36" s="14">
        <v>106.3</v>
      </c>
      <c r="D36" s="13">
        <v>128.80000000000001</v>
      </c>
      <c r="E36" s="13">
        <v>113.9</v>
      </c>
      <c r="F36" s="14">
        <v>97.6</v>
      </c>
      <c r="G36" s="15">
        <v>4.8099999999999996</v>
      </c>
      <c r="H36" s="68">
        <f t="shared" ref="H36:H75" si="5">100+((C36-$C$40)/$C$40*100*$C$2)+((D36-$D$40)/$D$40*100*$D$2)+((E36-$E$40)/$E$40*100*$E$2)+((F36-$F$40)/$F$40*100*$F$2)+((G36-$G$40)/$G$40*100*$G$2)</f>
        <v>97.048451031158621</v>
      </c>
      <c r="I36" s="4">
        <f t="shared" si="0"/>
        <v>-1.8091868533001612E-2</v>
      </c>
    </row>
    <row r="37" spans="1:10" ht="15" hidden="1" x14ac:dyDescent="0.2">
      <c r="A37" s="17">
        <f t="shared" si="4"/>
        <v>2007</v>
      </c>
      <c r="B37" s="18" t="s">
        <v>16</v>
      </c>
      <c r="C37" s="19">
        <v>107.5</v>
      </c>
      <c r="D37" s="18">
        <v>128</v>
      </c>
      <c r="E37" s="18">
        <v>113.7</v>
      </c>
      <c r="F37" s="19">
        <v>97.4</v>
      </c>
      <c r="G37" s="18">
        <v>4.82</v>
      </c>
      <c r="H37" s="69">
        <f t="shared" si="5"/>
        <v>97.596384573721011</v>
      </c>
      <c r="I37" s="4">
        <f t="shared" ref="I37:I63" si="6">(H37-H36)/H36*100</f>
        <v>0.56459792685044419</v>
      </c>
    </row>
    <row r="38" spans="1:10" ht="15" hidden="1" x14ac:dyDescent="0.2">
      <c r="A38" s="10">
        <f t="shared" si="4"/>
        <v>2007</v>
      </c>
      <c r="B38" t="s">
        <v>17</v>
      </c>
      <c r="C38" s="11">
        <v>107.5</v>
      </c>
      <c r="D38">
        <v>130.69999999999999</v>
      </c>
      <c r="E38">
        <v>114.3</v>
      </c>
      <c r="F38" s="11">
        <v>97.4</v>
      </c>
      <c r="G38" s="21">
        <v>4.84</v>
      </c>
      <c r="H38" s="67">
        <f t="shared" si="5"/>
        <v>97.984528819412418</v>
      </c>
      <c r="I38" s="4">
        <f t="shared" si="6"/>
        <v>0.39770350857435322</v>
      </c>
    </row>
    <row r="39" spans="1:10" ht="15.75" hidden="1" thickBot="1" x14ac:dyDescent="0.25">
      <c r="A39" s="30">
        <f t="shared" si="4"/>
        <v>2007</v>
      </c>
      <c r="B39" s="31" t="s">
        <v>18</v>
      </c>
      <c r="C39" s="32">
        <v>107.5</v>
      </c>
      <c r="D39" s="31">
        <v>131.30000000000001</v>
      </c>
      <c r="E39" s="31">
        <v>114.7</v>
      </c>
      <c r="F39" s="32">
        <v>97.3</v>
      </c>
      <c r="G39" s="31">
        <v>4.8499999999999996</v>
      </c>
      <c r="H39" s="70">
        <f t="shared" si="5"/>
        <v>98.086972839842176</v>
      </c>
      <c r="I39" s="4">
        <f t="shared" si="6"/>
        <v>0.10455122014064502</v>
      </c>
    </row>
    <row r="40" spans="1:10" s="2" customFormat="1" ht="15.75" hidden="1" x14ac:dyDescent="0.25">
      <c r="A40" s="2">
        <v>2008</v>
      </c>
      <c r="B40" s="2" t="s">
        <v>8</v>
      </c>
      <c r="C40" s="7">
        <v>108.6</v>
      </c>
      <c r="D40" s="7">
        <v>142.80000000000001</v>
      </c>
      <c r="E40" s="7">
        <v>115.5</v>
      </c>
      <c r="F40" s="7">
        <v>97.1</v>
      </c>
      <c r="G40" s="8">
        <v>4.7699999999999996</v>
      </c>
      <c r="H40" s="42">
        <f t="shared" si="5"/>
        <v>100</v>
      </c>
      <c r="I40" s="9">
        <f t="shared" si="6"/>
        <v>1.9503376490998887</v>
      </c>
      <c r="J40" s="34"/>
    </row>
    <row r="41" spans="1:10" ht="15" hidden="1" x14ac:dyDescent="0.2">
      <c r="A41" s="10">
        <f>A40</f>
        <v>2008</v>
      </c>
      <c r="B41" s="21" t="s">
        <v>9</v>
      </c>
      <c r="C41" s="11">
        <v>108.6</v>
      </c>
      <c r="D41" s="11">
        <v>136.30000000000001</v>
      </c>
      <c r="E41" s="11">
        <v>115.4</v>
      </c>
      <c r="F41" s="11">
        <v>96.7</v>
      </c>
      <c r="G41" s="21">
        <v>4.93</v>
      </c>
      <c r="H41" s="43">
        <f t="shared" si="5"/>
        <v>99.383446750672732</v>
      </c>
      <c r="I41" s="4">
        <f t="shared" si="6"/>
        <v>-0.61655324932726785</v>
      </c>
      <c r="J41" s="35"/>
    </row>
    <row r="42" spans="1:10" ht="15.75" hidden="1" x14ac:dyDescent="0.25">
      <c r="A42" s="12">
        <f t="shared" ref="A42:A51" si="7">A41</f>
        <v>2008</v>
      </c>
      <c r="B42" s="13" t="s">
        <v>10</v>
      </c>
      <c r="C42" s="14">
        <v>108.6</v>
      </c>
      <c r="D42" s="14">
        <v>140.19999999999999</v>
      </c>
      <c r="E42" s="14">
        <v>115.7</v>
      </c>
      <c r="F42" s="14">
        <v>97.6</v>
      </c>
      <c r="G42" s="15">
        <v>4.59</v>
      </c>
      <c r="H42" s="44">
        <f t="shared" si="5"/>
        <v>99.524257885272576</v>
      </c>
      <c r="I42" s="16">
        <f t="shared" si="6"/>
        <v>0.14168469619805207</v>
      </c>
      <c r="J42" s="54"/>
    </row>
    <row r="43" spans="1:10" ht="15" hidden="1" x14ac:dyDescent="0.2">
      <c r="A43" s="17">
        <f t="shared" si="7"/>
        <v>2008</v>
      </c>
      <c r="B43" s="18" t="s">
        <v>11</v>
      </c>
      <c r="C43" s="19">
        <v>109.9</v>
      </c>
      <c r="D43" s="19">
        <v>140.9</v>
      </c>
      <c r="E43" s="19">
        <v>117.1</v>
      </c>
      <c r="F43" s="19">
        <v>97.3</v>
      </c>
      <c r="G43" s="23">
        <v>4.55</v>
      </c>
      <c r="H43" s="45">
        <f t="shared" si="5"/>
        <v>100.34467210919578</v>
      </c>
      <c r="I43" s="20">
        <f t="shared" si="6"/>
        <v>0.82433593714303066</v>
      </c>
    </row>
    <row r="44" spans="1:10" ht="15" hidden="1" x14ac:dyDescent="0.2">
      <c r="A44" s="10">
        <f t="shared" si="7"/>
        <v>2008</v>
      </c>
      <c r="B44" t="s">
        <v>12</v>
      </c>
      <c r="C44" s="11">
        <v>109.9</v>
      </c>
      <c r="D44" s="11">
        <v>149.4</v>
      </c>
      <c r="E44" s="11">
        <v>117.6</v>
      </c>
      <c r="F44" s="11">
        <v>97.3</v>
      </c>
      <c r="G44" s="21">
        <v>4.72</v>
      </c>
      <c r="H44" s="43">
        <f t="shared" si="5"/>
        <v>101.60504538372001</v>
      </c>
      <c r="I44" s="4">
        <f t="shared" si="6"/>
        <v>1.2560440410355618</v>
      </c>
    </row>
    <row r="45" spans="1:10" ht="15" hidden="1" x14ac:dyDescent="0.2">
      <c r="A45" s="12">
        <f t="shared" si="7"/>
        <v>2008</v>
      </c>
      <c r="B45" s="13" t="s">
        <v>13</v>
      </c>
      <c r="C45" s="14">
        <v>109.9</v>
      </c>
      <c r="D45" s="14">
        <v>150.80000000000001</v>
      </c>
      <c r="E45" s="14">
        <v>118</v>
      </c>
      <c r="F45" s="14">
        <v>97.1</v>
      </c>
      <c r="G45" s="15">
        <v>4.9400000000000004</v>
      </c>
      <c r="H45" s="44">
        <f t="shared" si="5"/>
        <v>102.05760964772745</v>
      </c>
      <c r="I45" s="16">
        <f t="shared" si="6"/>
        <v>0.44541514872444393</v>
      </c>
      <c r="J45" s="28"/>
    </row>
    <row r="46" spans="1:10" ht="15" hidden="1" x14ac:dyDescent="0.2">
      <c r="A46" s="17">
        <f t="shared" si="7"/>
        <v>2008</v>
      </c>
      <c r="B46" s="22" t="s">
        <v>30</v>
      </c>
      <c r="C46" s="24">
        <v>111</v>
      </c>
      <c r="D46" s="19">
        <v>157.69999999999999</v>
      </c>
      <c r="E46" s="19">
        <v>118.4</v>
      </c>
      <c r="F46" s="19">
        <v>97</v>
      </c>
      <c r="G46" s="23">
        <v>5.22</v>
      </c>
      <c r="H46" s="45">
        <f t="shared" si="5"/>
        <v>103.85741111629646</v>
      </c>
      <c r="I46" s="20">
        <f t="shared" si="6"/>
        <v>1.7635152094796218</v>
      </c>
      <c r="J46" s="6"/>
    </row>
    <row r="47" spans="1:10" ht="15.75" hidden="1" x14ac:dyDescent="0.25">
      <c r="A47" s="10">
        <f t="shared" si="7"/>
        <v>2008</v>
      </c>
      <c r="B47" t="s">
        <v>14</v>
      </c>
      <c r="C47" s="11">
        <v>111</v>
      </c>
      <c r="D47" s="11">
        <v>165.5</v>
      </c>
      <c r="E47" s="11">
        <v>118.8</v>
      </c>
      <c r="F47" s="11">
        <v>97.2</v>
      </c>
      <c r="G47" s="21">
        <v>5.48</v>
      </c>
      <c r="H47" s="43">
        <f t="shared" si="5"/>
        <v>105.15926978784404</v>
      </c>
      <c r="I47" s="4">
        <f t="shared" si="6"/>
        <v>1.2535057994944576</v>
      </c>
      <c r="J47" s="29"/>
    </row>
    <row r="48" spans="1:10" ht="15" hidden="1" x14ac:dyDescent="0.2">
      <c r="A48" s="12">
        <f t="shared" si="7"/>
        <v>2008</v>
      </c>
      <c r="B48" s="13" t="s">
        <v>15</v>
      </c>
      <c r="C48" s="14">
        <v>111</v>
      </c>
      <c r="D48" s="14">
        <v>166.2</v>
      </c>
      <c r="E48" s="14">
        <v>118.4</v>
      </c>
      <c r="F48" s="14">
        <v>97.6</v>
      </c>
      <c r="G48" s="15">
        <v>5.36</v>
      </c>
      <c r="H48" s="44">
        <f t="shared" si="5"/>
        <v>105.10102927747189</v>
      </c>
      <c r="I48" s="16">
        <f t="shared" si="6"/>
        <v>-5.538314452890631E-2</v>
      </c>
    </row>
    <row r="49" spans="1:13" ht="15" hidden="1" x14ac:dyDescent="0.2">
      <c r="A49" s="17">
        <f t="shared" si="7"/>
        <v>2008</v>
      </c>
      <c r="B49" s="18" t="s">
        <v>16</v>
      </c>
      <c r="C49" s="19">
        <v>112.4</v>
      </c>
      <c r="D49" s="19">
        <v>153.4</v>
      </c>
      <c r="E49" s="19">
        <v>118.6</v>
      </c>
      <c r="F49" s="19">
        <v>97.6</v>
      </c>
      <c r="G49" s="23">
        <v>5.15</v>
      </c>
      <c r="H49" s="45">
        <f t="shared" si="5"/>
        <v>104.1004022871024</v>
      </c>
      <c r="I49" s="20">
        <f t="shared" si="6"/>
        <v>-0.95206202760183489</v>
      </c>
    </row>
    <row r="50" spans="1:13" ht="15" hidden="1" x14ac:dyDescent="0.2">
      <c r="A50" s="10">
        <f t="shared" si="7"/>
        <v>2008</v>
      </c>
      <c r="B50" t="s">
        <v>17</v>
      </c>
      <c r="C50" s="11">
        <v>112.4</v>
      </c>
      <c r="D50" s="11">
        <v>152.5</v>
      </c>
      <c r="E50" s="11">
        <v>119.1</v>
      </c>
      <c r="F50" s="11">
        <v>98</v>
      </c>
      <c r="G50" s="21">
        <v>5.15</v>
      </c>
      <c r="H50" s="43">
        <f t="shared" si="5"/>
        <v>104.06496664481814</v>
      </c>
      <c r="I50" s="4">
        <f t="shared" si="6"/>
        <v>-3.4039870649612267E-2</v>
      </c>
    </row>
    <row r="51" spans="1:13" ht="15.75" hidden="1" thickBot="1" x14ac:dyDescent="0.25">
      <c r="A51" s="30">
        <f t="shared" si="7"/>
        <v>2008</v>
      </c>
      <c r="B51" s="31" t="s">
        <v>18</v>
      </c>
      <c r="C51" s="32">
        <v>112.4</v>
      </c>
      <c r="D51" s="32">
        <v>142</v>
      </c>
      <c r="E51" s="32">
        <v>118.9</v>
      </c>
      <c r="F51" s="32">
        <v>99.5</v>
      </c>
      <c r="G51" s="58">
        <v>5.45</v>
      </c>
      <c r="H51" s="46">
        <f t="shared" si="5"/>
        <v>103.31750424738101</v>
      </c>
      <c r="I51" s="33">
        <f t="shared" si="6"/>
        <v>-0.71826515832968085</v>
      </c>
    </row>
    <row r="52" spans="1:13" ht="15" hidden="1" x14ac:dyDescent="0.2">
      <c r="A52" s="2">
        <v>2009</v>
      </c>
      <c r="B52" t="s">
        <v>8</v>
      </c>
      <c r="C52" s="11">
        <v>113.5</v>
      </c>
      <c r="D52" s="11">
        <v>134.19999999999999</v>
      </c>
      <c r="E52" s="11">
        <v>118.6</v>
      </c>
      <c r="F52" s="11">
        <v>100.3</v>
      </c>
      <c r="G52" s="105">
        <v>4.97</v>
      </c>
      <c r="H52" s="43">
        <f t="shared" si="5"/>
        <v>102.44626518020767</v>
      </c>
      <c r="I52" s="4">
        <f t="shared" si="6"/>
        <v>-0.84326375624333727</v>
      </c>
      <c r="J52" s="34"/>
    </row>
    <row r="53" spans="1:13" ht="15" hidden="1" x14ac:dyDescent="0.2">
      <c r="A53" s="10">
        <f>A52</f>
        <v>2009</v>
      </c>
      <c r="B53" t="s">
        <v>9</v>
      </c>
      <c r="C53" s="11">
        <v>113.5</v>
      </c>
      <c r="D53" s="11">
        <v>123.2</v>
      </c>
      <c r="E53" s="11">
        <v>118.2</v>
      </c>
      <c r="F53" s="11">
        <v>100.3</v>
      </c>
      <c r="G53" s="105">
        <v>4.4400000000000004</v>
      </c>
      <c r="H53" s="43">
        <f t="shared" si="5"/>
        <v>100.44236907631158</v>
      </c>
      <c r="I53" s="4">
        <f t="shared" si="6"/>
        <v>-1.9560460309325587</v>
      </c>
      <c r="J53" s="35"/>
    </row>
    <row r="54" spans="1:13" ht="15.75" hidden="1" x14ac:dyDescent="0.25">
      <c r="A54" s="12">
        <f t="shared" ref="A54:A63" si="8">A53</f>
        <v>2009</v>
      </c>
      <c r="B54" s="13" t="s">
        <v>10</v>
      </c>
      <c r="C54" s="14">
        <v>113.5</v>
      </c>
      <c r="D54" s="14">
        <v>121.5</v>
      </c>
      <c r="E54" s="14">
        <v>117.8</v>
      </c>
      <c r="F54" s="14">
        <v>98.7</v>
      </c>
      <c r="G54" s="106">
        <v>4.42</v>
      </c>
      <c r="H54" s="44">
        <f t="shared" si="5"/>
        <v>100.03882454261429</v>
      </c>
      <c r="I54" s="16">
        <f t="shared" si="6"/>
        <v>-0.40176723967023387</v>
      </c>
      <c r="J54" s="54"/>
    </row>
    <row r="55" spans="1:13" ht="15" hidden="1" x14ac:dyDescent="0.2">
      <c r="A55" s="17">
        <f t="shared" si="8"/>
        <v>2009</v>
      </c>
      <c r="B55" s="18" t="s">
        <v>11</v>
      </c>
      <c r="C55" s="19">
        <v>114.5</v>
      </c>
      <c r="D55" s="19">
        <v>120.9</v>
      </c>
      <c r="E55" s="19">
        <v>119.3</v>
      </c>
      <c r="F55" s="19">
        <v>100.5</v>
      </c>
      <c r="G55" s="107">
        <v>4.1500000000000004</v>
      </c>
      <c r="H55" s="45">
        <f t="shared" si="5"/>
        <v>100.45099393243727</v>
      </c>
      <c r="I55" s="20">
        <f t="shared" si="6"/>
        <v>0.4120094290466228</v>
      </c>
    </row>
    <row r="56" spans="1:13" ht="15" hidden="1" x14ac:dyDescent="0.2">
      <c r="A56" s="10">
        <f t="shared" si="8"/>
        <v>2009</v>
      </c>
      <c r="B56" t="s">
        <v>12</v>
      </c>
      <c r="C56" s="11">
        <v>114.5</v>
      </c>
      <c r="D56" s="11">
        <v>118.4</v>
      </c>
      <c r="E56" s="11">
        <v>119.7</v>
      </c>
      <c r="F56" s="11">
        <v>100.9</v>
      </c>
      <c r="G56" s="105">
        <v>3.93</v>
      </c>
      <c r="H56" s="43">
        <f t="shared" si="5"/>
        <v>99.941426133001983</v>
      </c>
      <c r="I56" s="4">
        <f t="shared" si="6"/>
        <v>-0.50727999742642715</v>
      </c>
      <c r="J56" s="74"/>
    </row>
    <row r="57" spans="1:13" ht="15" hidden="1" x14ac:dyDescent="0.2">
      <c r="A57" s="12">
        <f t="shared" si="8"/>
        <v>2009</v>
      </c>
      <c r="B57" s="13" t="s">
        <v>13</v>
      </c>
      <c r="C57" s="14">
        <v>114.5</v>
      </c>
      <c r="D57" s="14">
        <v>122.3</v>
      </c>
      <c r="E57" s="14">
        <v>119.6</v>
      </c>
      <c r="F57" s="14">
        <v>99.7</v>
      </c>
      <c r="G57" s="106">
        <v>3.89</v>
      </c>
      <c r="H57" s="44">
        <f t="shared" si="5"/>
        <v>100.23724543427278</v>
      </c>
      <c r="I57" s="16">
        <f t="shared" si="6"/>
        <v>0.2959926756269422</v>
      </c>
      <c r="J57" s="75"/>
    </row>
    <row r="58" spans="1:13" ht="15" hidden="1" x14ac:dyDescent="0.2">
      <c r="A58" s="17">
        <f t="shared" si="8"/>
        <v>2009</v>
      </c>
      <c r="B58" s="22" t="s">
        <v>30</v>
      </c>
      <c r="C58" s="19">
        <v>115.6</v>
      </c>
      <c r="D58" s="19">
        <v>123.4</v>
      </c>
      <c r="E58" s="19">
        <v>119.9</v>
      </c>
      <c r="F58" s="19">
        <v>99.9</v>
      </c>
      <c r="G58" s="107">
        <v>3.81</v>
      </c>
      <c r="H58" s="45">
        <f t="shared" si="5"/>
        <v>100.91462050192989</v>
      </c>
      <c r="I58" s="20">
        <f t="shared" si="6"/>
        <v>0.67577182984470152</v>
      </c>
      <c r="J58" s="76"/>
    </row>
    <row r="59" spans="1:13" ht="15" hidden="1" x14ac:dyDescent="0.2">
      <c r="A59" s="10">
        <f t="shared" si="8"/>
        <v>2009</v>
      </c>
      <c r="B59" t="s">
        <v>14</v>
      </c>
      <c r="C59" s="11">
        <v>115.6</v>
      </c>
      <c r="D59" s="11">
        <v>127.5</v>
      </c>
      <c r="E59" s="11">
        <v>120.2</v>
      </c>
      <c r="F59" s="11">
        <v>98.5</v>
      </c>
      <c r="G59" s="105">
        <v>3.69</v>
      </c>
      <c r="H59" s="47">
        <f t="shared" si="5"/>
        <v>101.14278843378494</v>
      </c>
      <c r="I59" s="4">
        <f t="shared" si="6"/>
        <v>0.22609997512767835</v>
      </c>
      <c r="J59" s="35"/>
    </row>
    <row r="60" spans="1:13" ht="15" hidden="1" x14ac:dyDescent="0.2">
      <c r="A60" s="12">
        <f t="shared" si="8"/>
        <v>2009</v>
      </c>
      <c r="B60" s="13" t="s">
        <v>15</v>
      </c>
      <c r="C60" s="14">
        <v>115.6</v>
      </c>
      <c r="D60" s="14">
        <v>124.8</v>
      </c>
      <c r="E60" s="14">
        <v>119.6</v>
      </c>
      <c r="F60" s="14">
        <v>98.3</v>
      </c>
      <c r="G60" s="106">
        <v>3.46</v>
      </c>
      <c r="H60" s="55">
        <f t="shared" si="5"/>
        <v>100.47195565458402</v>
      </c>
      <c r="I60" s="36">
        <f t="shared" si="6"/>
        <v>-0.66325319836331675</v>
      </c>
      <c r="J60" s="34"/>
    </row>
    <row r="61" spans="1:13" ht="15" hidden="1" x14ac:dyDescent="0.2">
      <c r="A61" s="17">
        <f t="shared" si="8"/>
        <v>2009</v>
      </c>
      <c r="B61" s="18" t="s">
        <v>16</v>
      </c>
      <c r="C61" s="19">
        <v>115.8</v>
      </c>
      <c r="D61" s="24">
        <v>131.69999999999999</v>
      </c>
      <c r="E61" s="19">
        <v>119.9</v>
      </c>
      <c r="F61" s="19">
        <v>97.5</v>
      </c>
      <c r="G61" s="107">
        <v>3.36</v>
      </c>
      <c r="H61" s="56">
        <f t="shared" si="5"/>
        <v>101.22472416038572</v>
      </c>
      <c r="I61" s="18">
        <f t="shared" si="6"/>
        <v>0.74923246083679873</v>
      </c>
      <c r="J61" s="76"/>
    </row>
    <row r="62" spans="1:13" ht="15" hidden="1" x14ac:dyDescent="0.2">
      <c r="A62" s="10">
        <f t="shared" si="8"/>
        <v>2009</v>
      </c>
      <c r="B62" t="s">
        <v>17</v>
      </c>
      <c r="C62" s="11">
        <v>115.8</v>
      </c>
      <c r="D62" s="57">
        <v>128.1</v>
      </c>
      <c r="E62" s="11">
        <v>120.1</v>
      </c>
      <c r="F62" s="11">
        <v>97.4</v>
      </c>
      <c r="G62" s="105">
        <v>3.23</v>
      </c>
      <c r="H62" s="55">
        <f t="shared" si="5"/>
        <v>100.63721473803184</v>
      </c>
      <c r="I62">
        <f t="shared" si="6"/>
        <v>-0.58040110973579417</v>
      </c>
      <c r="J62" s="35"/>
    </row>
    <row r="63" spans="1:13" ht="16.5" hidden="1" thickBot="1" x14ac:dyDescent="0.3">
      <c r="A63" s="30">
        <f t="shared" si="8"/>
        <v>2009</v>
      </c>
      <c r="B63" s="31" t="s">
        <v>18</v>
      </c>
      <c r="C63" s="32">
        <v>115.8</v>
      </c>
      <c r="D63">
        <v>128.1</v>
      </c>
      <c r="E63" s="99">
        <v>120.1</v>
      </c>
      <c r="F63" s="32">
        <v>97</v>
      </c>
      <c r="G63" s="100">
        <v>3.69</v>
      </c>
      <c r="H63" s="101">
        <f t="shared" si="5"/>
        <v>101.17875591000654</v>
      </c>
      <c r="I63" s="39">
        <f t="shared" si="6"/>
        <v>0.53811224146493175</v>
      </c>
      <c r="J63" s="54"/>
    </row>
    <row r="64" spans="1:13" ht="15.75" hidden="1" x14ac:dyDescent="0.25">
      <c r="A64" s="2">
        <v>2010</v>
      </c>
      <c r="B64" t="s">
        <v>8</v>
      </c>
      <c r="C64" s="57">
        <v>116.7</v>
      </c>
      <c r="D64" s="104">
        <v>131.69999999999999</v>
      </c>
      <c r="E64" s="104">
        <v>120.1</v>
      </c>
      <c r="F64" s="104">
        <v>96.9</v>
      </c>
      <c r="G64" s="59">
        <v>3.39</v>
      </c>
      <c r="H64" s="47">
        <f t="shared" si="5"/>
        <v>101.71793762201607</v>
      </c>
      <c r="I64" s="38"/>
      <c r="J64" s="54"/>
      <c r="M64" s="11"/>
    </row>
    <row r="65" spans="1:13" ht="15.75" hidden="1" x14ac:dyDescent="0.25">
      <c r="A65" s="10">
        <f>A64</f>
        <v>2010</v>
      </c>
      <c r="B65" t="s">
        <v>9</v>
      </c>
      <c r="C65" s="11">
        <v>116.7</v>
      </c>
      <c r="D65" s="11">
        <v>129.5</v>
      </c>
      <c r="E65" s="11">
        <v>119.9</v>
      </c>
      <c r="F65" s="11">
        <v>96.8</v>
      </c>
      <c r="G65" s="105">
        <v>3.32</v>
      </c>
      <c r="H65" s="43">
        <f t="shared" si="5"/>
        <v>101.34486093673642</v>
      </c>
      <c r="I65" s="38"/>
      <c r="J65" s="54"/>
      <c r="M65" s="11"/>
    </row>
    <row r="66" spans="1:13" ht="15.75" hidden="1" x14ac:dyDescent="0.25">
      <c r="A66" s="12">
        <f t="shared" ref="A66:A75" si="9">A65</f>
        <v>2010</v>
      </c>
      <c r="B66" s="13" t="s">
        <v>10</v>
      </c>
      <c r="C66" s="14">
        <v>116.7</v>
      </c>
      <c r="D66" s="14">
        <v>136.4</v>
      </c>
      <c r="E66" s="14">
        <v>120.2</v>
      </c>
      <c r="F66" s="14">
        <v>97.8</v>
      </c>
      <c r="G66" s="106">
        <v>3.13</v>
      </c>
      <c r="H66" s="44">
        <f t="shared" si="5"/>
        <v>102.04076296881883</v>
      </c>
      <c r="I66" s="38"/>
      <c r="J66" s="54"/>
      <c r="M66" s="11"/>
    </row>
    <row r="67" spans="1:13" ht="15.75" hidden="1" x14ac:dyDescent="0.25">
      <c r="A67" s="17">
        <f t="shared" si="9"/>
        <v>2010</v>
      </c>
      <c r="B67" s="18" t="s">
        <v>11</v>
      </c>
      <c r="C67" s="19">
        <v>117.1</v>
      </c>
      <c r="D67" s="19">
        <v>134.30000000000001</v>
      </c>
      <c r="E67" s="19">
        <v>121.6</v>
      </c>
      <c r="F67" s="19">
        <v>98.1</v>
      </c>
      <c r="G67" s="107">
        <v>3</v>
      </c>
      <c r="H67" s="45">
        <f t="shared" si="5"/>
        <v>101.97301151351795</v>
      </c>
      <c r="I67" s="38"/>
      <c r="J67" s="54"/>
      <c r="M67" s="11"/>
    </row>
    <row r="68" spans="1:13" ht="15.75" hidden="1" x14ac:dyDescent="0.25">
      <c r="A68" s="10">
        <f t="shared" si="9"/>
        <v>2010</v>
      </c>
      <c r="B68" t="s">
        <v>12</v>
      </c>
      <c r="C68" s="11">
        <v>117.1</v>
      </c>
      <c r="D68" s="11">
        <v>139.9</v>
      </c>
      <c r="E68" s="11">
        <v>122.3</v>
      </c>
      <c r="F68" s="11">
        <v>98.4</v>
      </c>
      <c r="G68" s="105">
        <v>2.9</v>
      </c>
      <c r="H68" s="43">
        <f t="shared" si="5"/>
        <v>102.59018325031738</v>
      </c>
      <c r="I68" s="38"/>
      <c r="J68" s="54"/>
      <c r="M68" s="11"/>
    </row>
    <row r="69" spans="1:13" ht="15.75" hidden="1" x14ac:dyDescent="0.25">
      <c r="A69" s="12">
        <f t="shared" si="9"/>
        <v>2010</v>
      </c>
      <c r="B69" s="13" t="s">
        <v>13</v>
      </c>
      <c r="C69" s="14">
        <v>117.1</v>
      </c>
      <c r="D69" s="14">
        <v>144.6</v>
      </c>
      <c r="E69" s="14">
        <v>122.5</v>
      </c>
      <c r="F69" s="14">
        <v>98.9</v>
      </c>
      <c r="G69" s="106">
        <v>2.75</v>
      </c>
      <c r="H69" s="44">
        <f t="shared" si="5"/>
        <v>103.02122460369421</v>
      </c>
      <c r="I69" s="38"/>
      <c r="J69" s="54"/>
      <c r="M69" s="11"/>
    </row>
    <row r="70" spans="1:13" ht="15.75" hidden="1" x14ac:dyDescent="0.25">
      <c r="A70" s="17">
        <f t="shared" si="9"/>
        <v>2010</v>
      </c>
      <c r="B70" s="22" t="s">
        <v>61</v>
      </c>
      <c r="C70" s="19">
        <v>118.4</v>
      </c>
      <c r="D70" s="19">
        <v>146.6</v>
      </c>
      <c r="E70" s="19">
        <v>122.5</v>
      </c>
      <c r="F70" s="19">
        <v>98.7</v>
      </c>
      <c r="G70" s="107">
        <v>2.42</v>
      </c>
      <c r="H70" s="45">
        <f t="shared" si="5"/>
        <v>103.54391995625241</v>
      </c>
      <c r="I70" s="38"/>
      <c r="J70" s="54"/>
      <c r="M70" s="11"/>
    </row>
    <row r="71" spans="1:13" ht="15.75" hidden="1" x14ac:dyDescent="0.25">
      <c r="A71" s="10">
        <f t="shared" si="9"/>
        <v>2010</v>
      </c>
      <c r="B71" t="s">
        <v>14</v>
      </c>
      <c r="C71" s="11">
        <v>118.4</v>
      </c>
      <c r="D71" s="11">
        <v>145.80000000000001</v>
      </c>
      <c r="E71" s="11">
        <v>122.3</v>
      </c>
      <c r="F71" s="11">
        <v>100.4</v>
      </c>
      <c r="G71" s="105">
        <v>2.4900000000000002</v>
      </c>
      <c r="H71" s="47">
        <f t="shared" si="5"/>
        <v>103.68044887758985</v>
      </c>
      <c r="I71" s="38"/>
      <c r="J71" s="54"/>
      <c r="M71" s="11"/>
    </row>
    <row r="72" spans="1:13" ht="15.75" hidden="1" x14ac:dyDescent="0.25">
      <c r="A72" s="12">
        <f t="shared" si="9"/>
        <v>2010</v>
      </c>
      <c r="B72" s="13" t="s">
        <v>15</v>
      </c>
      <c r="C72" s="14">
        <v>118.4</v>
      </c>
      <c r="D72" s="14">
        <v>143.5</v>
      </c>
      <c r="E72" s="14">
        <v>122.3</v>
      </c>
      <c r="F72" s="14">
        <v>100.4</v>
      </c>
      <c r="G72" s="106">
        <v>2.52</v>
      </c>
      <c r="H72" s="55">
        <f t="shared" si="5"/>
        <v>103.44437520283692</v>
      </c>
      <c r="I72" s="38"/>
      <c r="J72" s="54"/>
      <c r="M72" s="11"/>
    </row>
    <row r="73" spans="1:13" ht="15.75" hidden="1" x14ac:dyDescent="0.25">
      <c r="A73" s="17">
        <f t="shared" si="9"/>
        <v>2010</v>
      </c>
      <c r="B73" s="18" t="s">
        <v>16</v>
      </c>
      <c r="C73" s="19">
        <v>118.5</v>
      </c>
      <c r="D73" s="24">
        <v>143.5</v>
      </c>
      <c r="E73" s="19">
        <v>122.7</v>
      </c>
      <c r="F73" s="19">
        <v>99.5</v>
      </c>
      <c r="G73" s="107">
        <v>2.31</v>
      </c>
      <c r="H73" s="56">
        <f t="shared" si="5"/>
        <v>103.17975935042105</v>
      </c>
      <c r="I73" s="38"/>
      <c r="J73" s="54"/>
      <c r="M73" s="11"/>
    </row>
    <row r="74" spans="1:13" ht="15.75" hidden="1" x14ac:dyDescent="0.25">
      <c r="A74" s="10">
        <f t="shared" si="9"/>
        <v>2010</v>
      </c>
      <c r="B74" t="s">
        <v>17</v>
      </c>
      <c r="C74" s="11">
        <v>118.5</v>
      </c>
      <c r="D74" s="57">
        <v>147.4</v>
      </c>
      <c r="E74" s="11">
        <v>123.2</v>
      </c>
      <c r="F74" s="11">
        <v>99.4</v>
      </c>
      <c r="G74" s="105">
        <v>2.42</v>
      </c>
      <c r="H74" s="55">
        <f t="shared" si="5"/>
        <v>103.80777308415638</v>
      </c>
      <c r="I74" s="38"/>
      <c r="J74" s="54"/>
      <c r="M74" s="11"/>
    </row>
    <row r="75" spans="1:13" ht="16.5" hidden="1" thickBot="1" x14ac:dyDescent="0.3">
      <c r="A75" s="30">
        <f t="shared" si="9"/>
        <v>2010</v>
      </c>
      <c r="B75" s="31" t="s">
        <v>18</v>
      </c>
      <c r="C75" s="32">
        <v>118.5</v>
      </c>
      <c r="D75">
        <v>143.6</v>
      </c>
      <c r="E75" s="99">
        <v>123.1</v>
      </c>
      <c r="F75" s="32">
        <v>98.7</v>
      </c>
      <c r="G75" s="100">
        <v>2.85</v>
      </c>
      <c r="H75" s="101">
        <f t="shared" si="5"/>
        <v>103.82446466259715</v>
      </c>
      <c r="I75" s="38"/>
      <c r="J75" s="54"/>
      <c r="M75" s="11"/>
    </row>
    <row r="76" spans="1:13" ht="15" hidden="1" x14ac:dyDescent="0.2">
      <c r="A76" s="2">
        <v>2011</v>
      </c>
      <c r="B76" t="s">
        <v>8</v>
      </c>
      <c r="C76" s="57">
        <v>119.4</v>
      </c>
      <c r="D76" s="104">
        <v>147.30000000000001</v>
      </c>
      <c r="E76" s="104">
        <v>123.2</v>
      </c>
      <c r="F76" s="104">
        <v>97.8</v>
      </c>
      <c r="G76" s="59">
        <v>2.77</v>
      </c>
      <c r="H76" s="47">
        <f t="shared" ref="H76:H87" si="10">100+((C76-$C$40)/$C$40*100*$C$2)+((D76-$D$40)/$D$40*100*$D$2)+((E76-$E$40)/$E$40*100*$E$2)+((F76-$F$40)/$F$40*100*$F$2)+((G76-$G$40)/$G$40*100*$G$2)</f>
        <v>104.58505674273317</v>
      </c>
      <c r="I76" s="51">
        <f>(H112-H63)/H63*100</f>
        <v>8.1678221201793431</v>
      </c>
      <c r="J76" s="34"/>
    </row>
    <row r="77" spans="1:13" ht="15" hidden="1" x14ac:dyDescent="0.2">
      <c r="A77" s="10">
        <f>A76</f>
        <v>2011</v>
      </c>
      <c r="B77" t="s">
        <v>9</v>
      </c>
      <c r="C77" s="57">
        <v>119.4</v>
      </c>
      <c r="D77" s="57">
        <v>151.19999999999999</v>
      </c>
      <c r="E77" s="57">
        <v>123.3</v>
      </c>
      <c r="F77" s="57">
        <v>98.2</v>
      </c>
      <c r="G77" s="105">
        <v>2.68</v>
      </c>
      <c r="H77" s="47">
        <f t="shared" si="10"/>
        <v>104.98013649700204</v>
      </c>
      <c r="I77" s="51">
        <f t="shared" ref="I77:I87" si="11">(H113-H112)/H112*100</f>
        <v>0.21800821256603609</v>
      </c>
      <c r="J77" s="35"/>
    </row>
    <row r="78" spans="1:13" ht="15.75" hidden="1" x14ac:dyDescent="0.25">
      <c r="A78" s="12">
        <f t="shared" ref="A78:A87" si="12">A77</f>
        <v>2011</v>
      </c>
      <c r="B78" s="13" t="s">
        <v>10</v>
      </c>
      <c r="C78" s="103">
        <v>119.4</v>
      </c>
      <c r="D78" s="103">
        <v>156.6</v>
      </c>
      <c r="E78" s="103">
        <v>123.4</v>
      </c>
      <c r="F78" s="103">
        <v>99</v>
      </c>
      <c r="G78" s="106">
        <v>2.91</v>
      </c>
      <c r="H78" s="109">
        <f t="shared" si="10"/>
        <v>105.99337858333936</v>
      </c>
      <c r="I78" s="52">
        <f t="shared" si="11"/>
        <v>-0.2394424983724058</v>
      </c>
      <c r="J78" s="54"/>
    </row>
    <row r="79" spans="1:13" ht="15" hidden="1" x14ac:dyDescent="0.2">
      <c r="A79" s="17">
        <f t="shared" si="12"/>
        <v>2011</v>
      </c>
      <c r="B79" s="18" t="s">
        <v>11</v>
      </c>
      <c r="C79" s="24">
        <v>119.8</v>
      </c>
      <c r="D79" s="24">
        <v>160</v>
      </c>
      <c r="E79" s="24">
        <v>124.9</v>
      </c>
      <c r="F79" s="24">
        <v>98.5</v>
      </c>
      <c r="G79" s="107">
        <v>2.96</v>
      </c>
      <c r="H79" s="110">
        <f t="shared" si="10"/>
        <v>106.73958017361328</v>
      </c>
      <c r="I79" s="53">
        <f t="shared" si="11"/>
        <v>0.34699220300847483</v>
      </c>
    </row>
    <row r="80" spans="1:13" ht="15" hidden="1" x14ac:dyDescent="0.2">
      <c r="A80" s="10">
        <f t="shared" si="12"/>
        <v>2011</v>
      </c>
      <c r="B80" t="s">
        <v>12</v>
      </c>
      <c r="C80" s="57">
        <f>C79</f>
        <v>119.8</v>
      </c>
      <c r="D80" s="57">
        <v>163.69999999999999</v>
      </c>
      <c r="E80" s="57">
        <v>125.6</v>
      </c>
      <c r="F80" s="57">
        <v>98.5</v>
      </c>
      <c r="G80" s="105">
        <v>3.07</v>
      </c>
      <c r="H80" s="47">
        <f t="shared" si="10"/>
        <v>107.36690599244854</v>
      </c>
      <c r="I80" s="51">
        <f t="shared" si="11"/>
        <v>-0.15096625321726856</v>
      </c>
      <c r="J80" s="74"/>
    </row>
    <row r="81" spans="1:10" ht="15" hidden="1" x14ac:dyDescent="0.2">
      <c r="A81" s="12">
        <f t="shared" si="12"/>
        <v>2011</v>
      </c>
      <c r="B81" s="13" t="s">
        <v>13</v>
      </c>
      <c r="C81" s="103">
        <f t="shared" ref="C81:C87" si="13">C79</f>
        <v>119.8</v>
      </c>
      <c r="D81" s="103">
        <v>169.4</v>
      </c>
      <c r="E81" s="103">
        <v>126.1</v>
      </c>
      <c r="F81" s="103">
        <v>97.8</v>
      </c>
      <c r="G81" s="106">
        <v>3</v>
      </c>
      <c r="H81" s="109">
        <f t="shared" si="10"/>
        <v>107.9271775757901</v>
      </c>
      <c r="I81" s="52">
        <f t="shared" si="11"/>
        <v>-0.13944128299499509</v>
      </c>
      <c r="J81" s="75"/>
    </row>
    <row r="82" spans="1:10" ht="15" hidden="1" x14ac:dyDescent="0.2">
      <c r="A82" s="17">
        <f t="shared" si="12"/>
        <v>2011</v>
      </c>
      <c r="B82" s="22" t="s">
        <v>30</v>
      </c>
      <c r="C82" s="24">
        <v>120.4</v>
      </c>
      <c r="D82" s="24">
        <v>163.5</v>
      </c>
      <c r="E82" s="24">
        <v>126.3</v>
      </c>
      <c r="F82" s="24">
        <v>97</v>
      </c>
      <c r="G82" s="107">
        <v>2.85</v>
      </c>
      <c r="H82" s="110">
        <f t="shared" si="10"/>
        <v>107.30731154423297</v>
      </c>
      <c r="I82" s="53">
        <f t="shared" si="11"/>
        <v>-3.7741487679260721E-2</v>
      </c>
      <c r="J82" s="76"/>
    </row>
    <row r="83" spans="1:10" ht="15" hidden="1" x14ac:dyDescent="0.2">
      <c r="A83" s="10">
        <f t="shared" si="12"/>
        <v>2011</v>
      </c>
      <c r="B83" t="s">
        <v>14</v>
      </c>
      <c r="C83" s="57">
        <f>C82</f>
        <v>120.4</v>
      </c>
      <c r="D83" s="57">
        <v>167.3</v>
      </c>
      <c r="E83" s="57">
        <v>126</v>
      </c>
      <c r="F83" s="57">
        <v>96.9</v>
      </c>
      <c r="G83" s="59">
        <v>2.89</v>
      </c>
      <c r="H83" s="47">
        <f t="shared" si="10"/>
        <v>107.77995894618688</v>
      </c>
      <c r="I83" s="51">
        <f t="shared" si="11"/>
        <v>0.19732922884738852</v>
      </c>
      <c r="J83" s="35"/>
    </row>
    <row r="84" spans="1:10" ht="15" hidden="1" x14ac:dyDescent="0.2">
      <c r="A84" s="12">
        <f t="shared" si="12"/>
        <v>2011</v>
      </c>
      <c r="B84" s="13" t="s">
        <v>15</v>
      </c>
      <c r="C84" s="103">
        <f t="shared" si="13"/>
        <v>120.4</v>
      </c>
      <c r="D84" s="103">
        <v>169.1</v>
      </c>
      <c r="E84" s="103">
        <v>125.9</v>
      </c>
      <c r="F84" s="103">
        <v>96.6</v>
      </c>
      <c r="G84" s="106">
        <v>2.7</v>
      </c>
      <c r="H84" s="55">
        <f t="shared" si="10"/>
        <v>107.72051815768444</v>
      </c>
      <c r="I84" s="36">
        <f t="shared" si="11"/>
        <v>-0.17700392370488663</v>
      </c>
      <c r="J84" s="34"/>
    </row>
    <row r="85" spans="1:10" ht="15" hidden="1" x14ac:dyDescent="0.2">
      <c r="A85" s="17">
        <f t="shared" si="12"/>
        <v>2011</v>
      </c>
      <c r="B85" s="18" t="s">
        <v>16</v>
      </c>
      <c r="C85" s="24">
        <v>120.8</v>
      </c>
      <c r="D85" s="24">
        <v>165.3</v>
      </c>
      <c r="E85" s="24">
        <v>125.9</v>
      </c>
      <c r="F85" s="24">
        <v>97.2</v>
      </c>
      <c r="G85" s="107">
        <v>2.39</v>
      </c>
      <c r="H85" s="56">
        <f t="shared" si="10"/>
        <v>107.15480734386321</v>
      </c>
      <c r="I85" s="37">
        <f t="shared" si="11"/>
        <v>0.19383304712299129</v>
      </c>
      <c r="J85" s="76"/>
    </row>
    <row r="86" spans="1:10" ht="15" hidden="1" x14ac:dyDescent="0.2">
      <c r="A86" s="10">
        <f t="shared" si="12"/>
        <v>2011</v>
      </c>
      <c r="B86" t="s">
        <v>17</v>
      </c>
      <c r="C86" s="57">
        <f>C85</f>
        <v>120.8</v>
      </c>
      <c r="D86" s="57">
        <v>168.5</v>
      </c>
      <c r="E86" s="57">
        <v>126.3</v>
      </c>
      <c r="F86" s="57">
        <v>96.9</v>
      </c>
      <c r="G86" s="105">
        <v>2.19</v>
      </c>
      <c r="H86" s="55">
        <f t="shared" si="10"/>
        <v>107.28408664030727</v>
      </c>
      <c r="I86" s="38">
        <f t="shared" si="11"/>
        <v>-0.18896408970186979</v>
      </c>
      <c r="J86" s="35"/>
    </row>
    <row r="87" spans="1:10" ht="15.75" hidden="1" thickBot="1" x14ac:dyDescent="0.25">
      <c r="A87" s="30">
        <f t="shared" si="12"/>
        <v>2011</v>
      </c>
      <c r="B87" s="31" t="s">
        <v>18</v>
      </c>
      <c r="C87" s="99">
        <f t="shared" si="13"/>
        <v>120.8</v>
      </c>
      <c r="D87" s="99">
        <v>169.8</v>
      </c>
      <c r="E87" s="99">
        <v>126.5</v>
      </c>
      <c r="F87" s="99">
        <v>98.1</v>
      </c>
      <c r="G87" s="100">
        <v>2.54</v>
      </c>
      <c r="H87" s="101">
        <f t="shared" si="10"/>
        <v>108.00417847192873</v>
      </c>
      <c r="I87" s="39">
        <f t="shared" si="11"/>
        <v>-0.44736015762392245</v>
      </c>
      <c r="J87" s="35"/>
    </row>
    <row r="88" spans="1:10" ht="15" hidden="1" x14ac:dyDescent="0.2">
      <c r="A88" s="2">
        <v>2012</v>
      </c>
      <c r="B88" t="s">
        <v>8</v>
      </c>
      <c r="C88" s="24">
        <v>121.3</v>
      </c>
      <c r="D88" s="104">
        <v>173.6</v>
      </c>
      <c r="E88" s="57">
        <v>126.4</v>
      </c>
      <c r="F88" s="57">
        <v>97.6</v>
      </c>
      <c r="G88" s="59">
        <v>2.23</v>
      </c>
      <c r="H88" s="121">
        <f t="shared" ref="H88:H99" si="14">100+((C88-$C$40)/$C$40*100*$C$2)+((D88-$D$40)/$D$40*100*$D$2)+((E88-$E$40)/$E$40*100*$E$2)+((F88-$F$40)/$F$40*100*$F$2)+((G88-$G$40)/$G$40*100*$G$2)</f>
        <v>108.28959502910448</v>
      </c>
      <c r="I88" s="51">
        <f>(H76-H123)/H123*100</f>
        <v>-4.0289552892457694</v>
      </c>
      <c r="J88" s="34"/>
    </row>
    <row r="89" spans="1:10" ht="15" hidden="1" x14ac:dyDescent="0.2">
      <c r="A89" s="10">
        <f>A88</f>
        <v>2012</v>
      </c>
      <c r="B89" t="s">
        <v>9</v>
      </c>
      <c r="C89">
        <f>C88</f>
        <v>121.3</v>
      </c>
      <c r="D89" s="57">
        <v>169.6</v>
      </c>
      <c r="E89" s="57">
        <v>126.4</v>
      </c>
      <c r="F89" s="57">
        <v>98.3</v>
      </c>
      <c r="G89" s="105">
        <v>1.87</v>
      </c>
      <c r="H89" s="121">
        <f t="shared" si="14"/>
        <v>107.42545592963126</v>
      </c>
      <c r="I89" s="51">
        <f t="shared" ref="I89:I99" si="15">(H77-H76)/H76*100</f>
        <v>0.37775927706451662</v>
      </c>
      <c r="J89" s="35"/>
    </row>
    <row r="90" spans="1:10" ht="15.75" hidden="1" x14ac:dyDescent="0.25">
      <c r="A90" s="12">
        <f t="shared" ref="A90:A99" si="16">A89</f>
        <v>2012</v>
      </c>
      <c r="B90" s="13" t="s">
        <v>10</v>
      </c>
      <c r="C90" s="13">
        <f>C88</f>
        <v>121.3</v>
      </c>
      <c r="D90" s="103">
        <v>174.9</v>
      </c>
      <c r="E90" s="103">
        <v>126.8</v>
      </c>
      <c r="F90" s="103">
        <v>99.2</v>
      </c>
      <c r="G90" s="106">
        <v>1.97</v>
      </c>
      <c r="H90" s="122">
        <f t="shared" si="14"/>
        <v>108.29331925732106</v>
      </c>
      <c r="I90" s="52">
        <f t="shared" si="15"/>
        <v>0.96517505134532178</v>
      </c>
      <c r="J90" s="54"/>
    </row>
    <row r="91" spans="1:10" ht="15" hidden="1" x14ac:dyDescent="0.2">
      <c r="A91" s="17">
        <f t="shared" si="16"/>
        <v>2012</v>
      </c>
      <c r="B91" s="18" t="s">
        <v>11</v>
      </c>
      <c r="C91" s="57">
        <v>122.1</v>
      </c>
      <c r="D91" s="57">
        <v>177.5</v>
      </c>
      <c r="E91" s="57">
        <v>128.4</v>
      </c>
      <c r="F91" s="57">
        <v>99.9</v>
      </c>
      <c r="G91" s="107">
        <v>2</v>
      </c>
      <c r="H91" s="123">
        <f t="shared" si="14"/>
        <v>109.25827194239672</v>
      </c>
      <c r="I91" s="53">
        <f t="shared" si="15"/>
        <v>0.704007741094126</v>
      </c>
    </row>
    <row r="92" spans="1:10" ht="15" hidden="1" x14ac:dyDescent="0.2">
      <c r="A92" s="10">
        <f t="shared" si="16"/>
        <v>2012</v>
      </c>
      <c r="B92" t="s">
        <v>12</v>
      </c>
      <c r="C92" s="57">
        <f>C91</f>
        <v>122.1</v>
      </c>
      <c r="D92" s="57">
        <v>180.6</v>
      </c>
      <c r="E92" s="57">
        <v>129</v>
      </c>
      <c r="F92" s="57">
        <v>99.3</v>
      </c>
      <c r="G92" s="105">
        <v>1.94</v>
      </c>
      <c r="H92" s="121">
        <f t="shared" si="14"/>
        <v>109.53779353454972</v>
      </c>
      <c r="I92" s="51">
        <f t="shared" si="15"/>
        <v>0.58771621343732716</v>
      </c>
      <c r="J92" s="74"/>
    </row>
    <row r="93" spans="1:10" ht="15" hidden="1" x14ac:dyDescent="0.2">
      <c r="A93" s="12">
        <f t="shared" si="16"/>
        <v>2012</v>
      </c>
      <c r="B93" s="13" t="s">
        <v>13</v>
      </c>
      <c r="C93" s="103">
        <f t="shared" ref="C93:C99" si="17">C91</f>
        <v>122.1</v>
      </c>
      <c r="D93" s="103">
        <v>178.2</v>
      </c>
      <c r="E93" s="103">
        <v>129</v>
      </c>
      <c r="F93" s="103">
        <v>99.8</v>
      </c>
      <c r="G93" s="106">
        <v>1.81</v>
      </c>
      <c r="H93" s="122">
        <f t="shared" si="14"/>
        <v>109.13490121154003</v>
      </c>
      <c r="I93" s="52">
        <f t="shared" si="15"/>
        <v>0.52182893617234893</v>
      </c>
      <c r="J93" s="75"/>
    </row>
    <row r="94" spans="1:10" ht="15" hidden="1" x14ac:dyDescent="0.2">
      <c r="A94" s="17">
        <f t="shared" si="16"/>
        <v>2012</v>
      </c>
      <c r="B94" s="22" t="s">
        <v>30</v>
      </c>
      <c r="C94" s="114">
        <v>122.6</v>
      </c>
      <c r="D94" s="114">
        <v>173.7</v>
      </c>
      <c r="E94" s="114">
        <v>129</v>
      </c>
      <c r="F94" s="114">
        <v>99.6</v>
      </c>
      <c r="G94" s="115">
        <v>1.54</v>
      </c>
      <c r="H94" s="123">
        <f t="shared" si="14"/>
        <v>108.51726978812567</v>
      </c>
      <c r="I94" s="53">
        <f t="shared" si="15"/>
        <v>-0.57433729435000969</v>
      </c>
      <c r="J94" s="76"/>
    </row>
    <row r="95" spans="1:10" ht="15" hidden="1" x14ac:dyDescent="0.2">
      <c r="A95" s="10">
        <f t="shared" si="16"/>
        <v>2012</v>
      </c>
      <c r="B95" t="s">
        <v>14</v>
      </c>
      <c r="C95" s="57">
        <f>C94</f>
        <v>122.6</v>
      </c>
      <c r="D95" s="114">
        <v>168.3</v>
      </c>
      <c r="E95" s="57">
        <v>128.80000000000001</v>
      </c>
      <c r="F95" s="57">
        <v>101</v>
      </c>
      <c r="G95" s="116">
        <v>1.64</v>
      </c>
      <c r="H95" s="121">
        <f t="shared" si="14"/>
        <v>108.11610912573073</v>
      </c>
      <c r="I95" s="51">
        <f t="shared" si="15"/>
        <v>0.44046150737741446</v>
      </c>
      <c r="J95" s="35"/>
    </row>
    <row r="96" spans="1:10" ht="15" hidden="1" x14ac:dyDescent="0.2">
      <c r="A96" s="12">
        <f t="shared" si="16"/>
        <v>2012</v>
      </c>
      <c r="B96" s="13" t="s">
        <v>15</v>
      </c>
      <c r="C96" s="103">
        <f t="shared" si="17"/>
        <v>122.6</v>
      </c>
      <c r="D96" s="117">
        <v>175.4</v>
      </c>
      <c r="E96" s="103">
        <v>128.80000000000001</v>
      </c>
      <c r="F96" s="103">
        <v>101.1</v>
      </c>
      <c r="G96" s="118">
        <v>1.44</v>
      </c>
      <c r="H96" s="124">
        <f t="shared" si="14"/>
        <v>108.71904368898144</v>
      </c>
      <c r="I96" s="36">
        <f t="shared" si="15"/>
        <v>-5.5150130955348008E-2</v>
      </c>
      <c r="J96" s="34"/>
    </row>
    <row r="97" spans="1:10" ht="15" hidden="1" x14ac:dyDescent="0.2">
      <c r="A97" s="17">
        <f t="shared" si="16"/>
        <v>2012</v>
      </c>
      <c r="B97" t="s">
        <v>16</v>
      </c>
      <c r="C97" s="57">
        <v>122.8</v>
      </c>
      <c r="D97" s="114">
        <v>180.3</v>
      </c>
      <c r="E97" s="57">
        <v>129.19999999999999</v>
      </c>
      <c r="F97" s="57">
        <v>101.8</v>
      </c>
      <c r="G97" s="116">
        <v>1.46</v>
      </c>
      <c r="H97" s="125">
        <f t="shared" si="14"/>
        <v>109.53061868569037</v>
      </c>
      <c r="I97" s="37">
        <f t="shared" si="15"/>
        <v>-0.52516532922086634</v>
      </c>
      <c r="J97" s="76"/>
    </row>
    <row r="98" spans="1:10" ht="15" hidden="1" x14ac:dyDescent="0.2">
      <c r="A98" s="10">
        <f t="shared" si="16"/>
        <v>2012</v>
      </c>
      <c r="B98" t="s">
        <v>17</v>
      </c>
      <c r="C98" s="57">
        <f>C97</f>
        <v>122.8</v>
      </c>
      <c r="D98" s="114">
        <v>180.5</v>
      </c>
      <c r="E98" s="114">
        <v>129.5</v>
      </c>
      <c r="F98" s="114">
        <v>101.4</v>
      </c>
      <c r="G98" s="116">
        <v>1.54</v>
      </c>
      <c r="H98" s="124">
        <f t="shared" si="14"/>
        <v>109.63876118087016</v>
      </c>
      <c r="I98" s="38">
        <f t="shared" si="15"/>
        <v>0.12064722026814184</v>
      </c>
    </row>
    <row r="99" spans="1:10" ht="15" hidden="1" customHeight="1" thickBot="1" x14ac:dyDescent="0.25">
      <c r="A99" s="30">
        <f t="shared" si="16"/>
        <v>2012</v>
      </c>
      <c r="B99" s="31" t="s">
        <v>18</v>
      </c>
      <c r="C99" s="99">
        <f t="shared" si="17"/>
        <v>122.8</v>
      </c>
      <c r="D99" s="119">
        <f>D98</f>
        <v>180.5</v>
      </c>
      <c r="E99" s="99">
        <v>129.4</v>
      </c>
      <c r="F99" s="99">
        <v>100.5</v>
      </c>
      <c r="G99" s="120">
        <v>1.67</v>
      </c>
      <c r="H99" s="126">
        <f t="shared" si="14"/>
        <v>109.71193763101257</v>
      </c>
      <c r="I99" s="39">
        <f t="shared" si="15"/>
        <v>0.67120097133857404</v>
      </c>
    </row>
    <row r="100" spans="1:10" ht="15" hidden="1" x14ac:dyDescent="0.2">
      <c r="A100" s="2">
        <v>2013</v>
      </c>
      <c r="B100" t="s">
        <v>8</v>
      </c>
      <c r="C100" s="131">
        <f>123.1*1.0101</f>
        <v>124.34330999999999</v>
      </c>
      <c r="D100" s="114">
        <v>174.9</v>
      </c>
      <c r="E100" s="114">
        <v>129.30000000000001</v>
      </c>
      <c r="F100" s="114">
        <v>100.2</v>
      </c>
      <c r="G100" s="116">
        <v>1.47</v>
      </c>
      <c r="H100" s="132">
        <f t="shared" ref="H100:H112" si="18">100+((C100-$C$40)/$C$40*100*$C$2)+((D100-$D$40)/$D$40*100*$D$2)+((E100-$E$40)/$E$40*100*$E$2)+((F100-$F$40)/$F$40*100*$F$2)+((G100-$G$40)/$G$40*100*$G$2)</f>
        <v>109.61162330376909</v>
      </c>
      <c r="J100" s="134" t="s">
        <v>40</v>
      </c>
    </row>
    <row r="101" spans="1:10" ht="15" hidden="1" x14ac:dyDescent="0.2">
      <c r="A101" s="10">
        <f>A100</f>
        <v>2013</v>
      </c>
      <c r="B101" t="s">
        <v>9</v>
      </c>
      <c r="C101" s="131">
        <f>123.1*1.0101</f>
        <v>124.34330999999999</v>
      </c>
      <c r="D101" s="114">
        <v>170.5</v>
      </c>
      <c r="E101" s="114">
        <v>128.9</v>
      </c>
      <c r="F101" s="114">
        <v>100.7</v>
      </c>
      <c r="G101" s="116">
        <v>1.44</v>
      </c>
      <c r="H101" s="132">
        <f t="shared" si="18"/>
        <v>109.06871627848055</v>
      </c>
      <c r="J101" s="134" t="s">
        <v>41</v>
      </c>
    </row>
    <row r="102" spans="1:10" ht="15" hidden="1" x14ac:dyDescent="0.2">
      <c r="A102" s="12">
        <f t="shared" ref="A102:A111" si="19">A101</f>
        <v>2013</v>
      </c>
      <c r="B102" s="13" t="s">
        <v>10</v>
      </c>
      <c r="C102" s="117">
        <f>123.1*1.0101</f>
        <v>124.34330999999999</v>
      </c>
      <c r="D102" s="117">
        <v>171.1</v>
      </c>
      <c r="E102" s="103">
        <v>128.4</v>
      </c>
      <c r="F102" s="117">
        <v>99.5</v>
      </c>
      <c r="G102" s="118">
        <v>1.69</v>
      </c>
      <c r="H102" s="122">
        <f t="shared" si="18"/>
        <v>109.30875268340239</v>
      </c>
    </row>
    <row r="103" spans="1:10" ht="15" hidden="1" x14ac:dyDescent="0.2">
      <c r="A103" s="17">
        <f t="shared" si="19"/>
        <v>2013</v>
      </c>
      <c r="B103" s="18" t="s">
        <v>11</v>
      </c>
      <c r="C103" s="114">
        <f>123.7 * 1.0101</f>
        <v>124.94937</v>
      </c>
      <c r="D103" s="114">
        <v>174.5</v>
      </c>
      <c r="E103" s="114">
        <v>129.9</v>
      </c>
      <c r="F103" s="114">
        <f>F102*(1+(((SUM(F$88:F$99)-SUM(F$76:F$87))/SUM(F$76:F$87))/12))</f>
        <v>99.690938166311312</v>
      </c>
      <c r="G103" s="116">
        <v>1.54</v>
      </c>
      <c r="H103" s="110">
        <f t="shared" si="18"/>
        <v>109.98126889310322</v>
      </c>
    </row>
    <row r="104" spans="1:10" ht="15" hidden="1" x14ac:dyDescent="0.2">
      <c r="A104" s="10">
        <f t="shared" si="19"/>
        <v>2013</v>
      </c>
      <c r="B104" t="s">
        <v>12</v>
      </c>
      <c r="C104" s="114">
        <f>123.7 * 1.0101</f>
        <v>124.94937</v>
      </c>
      <c r="D104" s="114">
        <v>171.1</v>
      </c>
      <c r="E104" s="114">
        <f>E103*(1+(((SUM(E$88:E$99)-SUM(E$76:E$87))/SUM(E$76:E$87))/12))</f>
        <v>130.16857290142343</v>
      </c>
      <c r="F104" s="114">
        <v>99.6</v>
      </c>
      <c r="G104" s="116">
        <v>1.45</v>
      </c>
      <c r="H104" s="47">
        <f t="shared" si="18"/>
        <v>109.4734730209545</v>
      </c>
    </row>
    <row r="105" spans="1:10" ht="15" hidden="1" x14ac:dyDescent="0.2">
      <c r="A105" s="12">
        <f t="shared" si="19"/>
        <v>2013</v>
      </c>
      <c r="B105" s="13" t="s">
        <v>13</v>
      </c>
      <c r="C105" s="117">
        <f>123.7 * 1.0101</f>
        <v>124.94937</v>
      </c>
      <c r="D105" s="117">
        <v>164.4</v>
      </c>
      <c r="E105" s="117">
        <v>130</v>
      </c>
      <c r="F105" s="117">
        <v>100.5</v>
      </c>
      <c r="G105" s="118">
        <v>1.33</v>
      </c>
      <c r="H105" s="109">
        <f t="shared" si="18"/>
        <v>108.59665368749857</v>
      </c>
    </row>
    <row r="106" spans="1:10" ht="15" hidden="1" x14ac:dyDescent="0.2">
      <c r="A106" s="17">
        <f t="shared" si="19"/>
        <v>2013</v>
      </c>
      <c r="B106" s="22" t="s">
        <v>30</v>
      </c>
      <c r="C106" s="114">
        <f>124.1 * 1.0101</f>
        <v>125.35341</v>
      </c>
      <c r="D106" s="114">
        <v>165.7</v>
      </c>
      <c r="E106" s="114">
        <v>130.1</v>
      </c>
      <c r="F106" s="114">
        <v>100.1</v>
      </c>
      <c r="G106" s="116">
        <v>1.38</v>
      </c>
      <c r="H106" s="110">
        <f t="shared" si="18"/>
        <v>109.00738642005831</v>
      </c>
    </row>
    <row r="107" spans="1:10" ht="15" hidden="1" x14ac:dyDescent="0.2">
      <c r="A107" s="10">
        <f t="shared" si="19"/>
        <v>2013</v>
      </c>
      <c r="B107" t="s">
        <v>14</v>
      </c>
      <c r="C107" s="114">
        <f>124.1 * 1.0101</f>
        <v>125.35341</v>
      </c>
      <c r="D107" s="114">
        <v>165.3</v>
      </c>
      <c r="E107" s="114">
        <v>130</v>
      </c>
      <c r="F107" s="114">
        <v>100.2</v>
      </c>
      <c r="G107" s="116">
        <v>1.56</v>
      </c>
      <c r="H107" s="47">
        <f t="shared" si="18"/>
        <v>109.18852485490916</v>
      </c>
    </row>
    <row r="108" spans="1:10" ht="15" hidden="1" x14ac:dyDescent="0.2">
      <c r="A108" s="12">
        <f t="shared" si="19"/>
        <v>2013</v>
      </c>
      <c r="B108" s="13" t="s">
        <v>15</v>
      </c>
      <c r="C108" s="117">
        <f>124.1 * 1.0101</f>
        <v>125.35341</v>
      </c>
      <c r="D108" s="117">
        <v>169.4</v>
      </c>
      <c r="E108" s="117">
        <v>129.6</v>
      </c>
      <c r="F108" s="117">
        <v>99.6</v>
      </c>
      <c r="G108" s="118">
        <v>1.57</v>
      </c>
      <c r="H108" s="136">
        <f t="shared" si="18"/>
        <v>109.60588031131111</v>
      </c>
    </row>
    <row r="109" spans="1:10" ht="15" hidden="1" x14ac:dyDescent="0.2">
      <c r="A109" s="17">
        <f t="shared" si="19"/>
        <v>2013</v>
      </c>
      <c r="B109" t="s">
        <v>16</v>
      </c>
      <c r="C109" s="114">
        <f>124.4*1.0101</f>
        <v>125.65644</v>
      </c>
      <c r="D109" s="114">
        <v>168.6</v>
      </c>
      <c r="E109" s="114">
        <v>129.69999999999999</v>
      </c>
      <c r="F109" s="114">
        <v>99.6</v>
      </c>
      <c r="G109" s="116">
        <v>1.7</v>
      </c>
      <c r="H109" s="55">
        <f t="shared" si="18"/>
        <v>109.84851052508078</v>
      </c>
    </row>
    <row r="110" spans="1:10" ht="15" hidden="1" x14ac:dyDescent="0.2">
      <c r="A110" s="10">
        <f t="shared" si="19"/>
        <v>2013</v>
      </c>
      <c r="B110" t="s">
        <v>17</v>
      </c>
      <c r="C110" s="114">
        <f>C109</f>
        <v>125.65644</v>
      </c>
      <c r="D110" s="114">
        <v>173.5</v>
      </c>
      <c r="E110" s="114">
        <v>130.1</v>
      </c>
      <c r="F110" s="114">
        <v>99.3</v>
      </c>
      <c r="G110" s="116">
        <v>1.63</v>
      </c>
      <c r="H110" s="55">
        <f t="shared" si="18"/>
        <v>110.34369278648441</v>
      </c>
    </row>
    <row r="111" spans="1:10" ht="15.75" hidden="1" thickBot="1" x14ac:dyDescent="0.25">
      <c r="A111" s="30">
        <f t="shared" si="19"/>
        <v>2013</v>
      </c>
      <c r="B111" s="31" t="s">
        <v>18</v>
      </c>
      <c r="C111" s="119">
        <f>C109</f>
        <v>125.65644</v>
      </c>
      <c r="D111" s="119">
        <v>169.1</v>
      </c>
      <c r="E111" s="119">
        <v>130.30000000000001</v>
      </c>
      <c r="F111" s="119">
        <v>99.3</v>
      </c>
      <c r="G111" s="120">
        <v>1.69</v>
      </c>
      <c r="H111" s="101">
        <f t="shared" si="18"/>
        <v>109.90920777464092</v>
      </c>
    </row>
    <row r="112" spans="1:10" ht="13.5" hidden="1" customHeight="1" x14ac:dyDescent="0.2">
      <c r="A112" s="2">
        <v>2014</v>
      </c>
      <c r="B112" s="49" t="s">
        <v>8</v>
      </c>
      <c r="C112" s="114">
        <f>124.6*1.0101</f>
        <v>125.85845999999999</v>
      </c>
      <c r="D112" s="114">
        <v>167</v>
      </c>
      <c r="E112" s="114">
        <v>130</v>
      </c>
      <c r="F112" s="114">
        <v>98.7</v>
      </c>
      <c r="G112" s="116">
        <v>1.49</v>
      </c>
      <c r="H112" s="55">
        <f t="shared" si="18"/>
        <v>109.44285671614632</v>
      </c>
    </row>
    <row r="113" spans="1:10" ht="15" hidden="1" x14ac:dyDescent="0.2">
      <c r="A113" s="10">
        <f>A112</f>
        <v>2014</v>
      </c>
      <c r="B113" t="s">
        <v>9</v>
      </c>
      <c r="C113" s="114">
        <f>C112</f>
        <v>125.85845999999999</v>
      </c>
      <c r="D113" s="114">
        <v>167.8</v>
      </c>
      <c r="E113" s="114">
        <v>129.9</v>
      </c>
      <c r="F113" s="114">
        <v>99.1</v>
      </c>
      <c r="G113" s="116">
        <v>1.58</v>
      </c>
      <c r="H113" s="55">
        <f t="shared" ref="H113:H123" si="20">100+((C113-$C$40)/$C$40*100*$C$2)+((D113-$D$40)/$D$40*100*$D$2)+((E113-$E$40)/$E$40*100*$E$2)+((F113-$F$40)/$F$40*100*$F$2)+((G113-$G$40)/$G$40*100*$G$2)</f>
        <v>109.6814511318544</v>
      </c>
    </row>
    <row r="114" spans="1:10" ht="15" hidden="1" x14ac:dyDescent="0.2">
      <c r="A114" s="12">
        <f t="shared" ref="A114:A123" si="21">A113</f>
        <v>2014</v>
      </c>
      <c r="B114" s="13" t="s">
        <v>10</v>
      </c>
      <c r="C114" s="117">
        <f>C112</f>
        <v>125.85845999999999</v>
      </c>
      <c r="D114" s="117">
        <v>166.5</v>
      </c>
      <c r="E114" s="117">
        <v>129.69999999999999</v>
      </c>
      <c r="F114" s="137">
        <v>98.9</v>
      </c>
      <c r="G114" s="118">
        <v>1.52</v>
      </c>
      <c r="H114" s="136">
        <f t="shared" si="20"/>
        <v>109.41882712501318</v>
      </c>
      <c r="J114" s="134" t="s">
        <v>44</v>
      </c>
    </row>
    <row r="115" spans="1:10" ht="15" hidden="1" x14ac:dyDescent="0.2">
      <c r="A115" s="17">
        <f t="shared" si="21"/>
        <v>2014</v>
      </c>
      <c r="B115" s="18" t="s">
        <v>11</v>
      </c>
      <c r="C115" s="114">
        <f>125.1*1.0101</f>
        <v>126.36350999999999</v>
      </c>
      <c r="D115" s="114">
        <v>167.3</v>
      </c>
      <c r="E115" s="114">
        <v>130.6</v>
      </c>
      <c r="F115" s="131">
        <v>99.1</v>
      </c>
      <c r="G115" s="116">
        <v>1.46</v>
      </c>
      <c r="H115" s="55">
        <f t="shared" si="20"/>
        <v>109.7985019237603</v>
      </c>
    </row>
    <row r="116" spans="1:10" ht="15" hidden="1" x14ac:dyDescent="0.2">
      <c r="A116" s="10">
        <f t="shared" si="21"/>
        <v>2014</v>
      </c>
      <c r="B116" t="s">
        <v>12</v>
      </c>
      <c r="C116" s="114">
        <f>C115</f>
        <v>126.36350999999999</v>
      </c>
      <c r="D116" s="114">
        <v>166.4</v>
      </c>
      <c r="E116" s="114">
        <v>130.69999999999999</v>
      </c>
      <c r="F116" s="131">
        <v>98.8</v>
      </c>
      <c r="G116" s="116">
        <v>1.43</v>
      </c>
      <c r="H116" s="55">
        <f t="shared" si="20"/>
        <v>109.63274323931731</v>
      </c>
    </row>
    <row r="117" spans="1:10" ht="15" hidden="1" x14ac:dyDescent="0.2">
      <c r="A117" s="12">
        <f t="shared" si="21"/>
        <v>2014</v>
      </c>
      <c r="B117" s="13" t="s">
        <v>13</v>
      </c>
      <c r="C117" s="117">
        <f>C115</f>
        <v>126.36350999999999</v>
      </c>
      <c r="D117" s="117">
        <v>165.5</v>
      </c>
      <c r="E117" s="117">
        <v>130.9</v>
      </c>
      <c r="F117" s="149">
        <v>98.7</v>
      </c>
      <c r="G117" s="118">
        <v>1.39</v>
      </c>
      <c r="H117" s="109">
        <f t="shared" si="20"/>
        <v>109.47986993556179</v>
      </c>
    </row>
    <row r="118" spans="1:10" ht="15" hidden="1" x14ac:dyDescent="0.2">
      <c r="A118" s="17">
        <f t="shared" si="21"/>
        <v>2014</v>
      </c>
      <c r="B118" s="22" t="s">
        <v>30</v>
      </c>
      <c r="C118" s="114">
        <f>125.4*1.0101</f>
        <v>126.66654000000001</v>
      </c>
      <c r="D118" s="114">
        <v>164.6</v>
      </c>
      <c r="E118" s="114">
        <v>130.80000000000001</v>
      </c>
      <c r="F118" s="131">
        <v>98.9</v>
      </c>
      <c r="G118" s="116">
        <v>1.3</v>
      </c>
      <c r="H118" s="110">
        <f t="shared" si="20"/>
        <v>109.43855060393879</v>
      </c>
    </row>
    <row r="119" spans="1:10" ht="15" hidden="1" x14ac:dyDescent="0.2">
      <c r="A119" s="10">
        <f t="shared" si="21"/>
        <v>2014</v>
      </c>
      <c r="B119" t="s">
        <v>14</v>
      </c>
      <c r="C119" s="114">
        <f>C118</f>
        <v>126.66654000000001</v>
      </c>
      <c r="D119" s="114">
        <v>166.5</v>
      </c>
      <c r="E119" s="114">
        <v>130.69999999999999</v>
      </c>
      <c r="F119" s="131">
        <v>99</v>
      </c>
      <c r="G119" s="116">
        <v>1.29</v>
      </c>
      <c r="H119" s="55">
        <f t="shared" si="20"/>
        <v>109.6545048519073</v>
      </c>
    </row>
    <row r="120" spans="1:10" ht="15" hidden="1" x14ac:dyDescent="0.2">
      <c r="A120" s="12">
        <f t="shared" si="21"/>
        <v>2014</v>
      </c>
      <c r="B120" s="13" t="s">
        <v>15</v>
      </c>
      <c r="C120" s="117">
        <f>C118</f>
        <v>126.66654000000001</v>
      </c>
      <c r="D120" s="117">
        <v>164.9</v>
      </c>
      <c r="E120" s="117">
        <v>130.6</v>
      </c>
      <c r="F120" s="137">
        <v>98.9</v>
      </c>
      <c r="G120" s="118">
        <v>1.3</v>
      </c>
      <c r="H120" s="136">
        <f t="shared" si="20"/>
        <v>109.46041207580026</v>
      </c>
    </row>
    <row r="121" spans="1:10" ht="15" hidden="1" x14ac:dyDescent="0.2">
      <c r="A121" s="17">
        <f t="shared" si="21"/>
        <v>2014</v>
      </c>
      <c r="B121" t="s">
        <v>16</v>
      </c>
      <c r="C121" s="114">
        <f>125.9*1.0101</f>
        <v>127.17159000000001</v>
      </c>
      <c r="D121" s="114">
        <v>165.3</v>
      </c>
      <c r="E121" s="114">
        <v>130.4</v>
      </c>
      <c r="F121" s="176">
        <v>98.9</v>
      </c>
      <c r="G121" s="116">
        <v>1.22</v>
      </c>
      <c r="H121" s="110">
        <f t="shared" si="20"/>
        <v>109.67258252792017</v>
      </c>
    </row>
    <row r="122" spans="1:10" ht="15" hidden="1" x14ac:dyDescent="0.2">
      <c r="A122" s="10">
        <f t="shared" si="21"/>
        <v>2014</v>
      </c>
      <c r="B122" t="s">
        <v>17</v>
      </c>
      <c r="C122" s="114">
        <f>C121</f>
        <v>127.17159000000001</v>
      </c>
      <c r="D122" s="114">
        <v>163.6</v>
      </c>
      <c r="E122" s="114">
        <v>130.80000000000001</v>
      </c>
      <c r="F122" s="153">
        <f>+F$121*(103.5/103.3)</f>
        <v>99.091481122942895</v>
      </c>
      <c r="G122" s="116">
        <v>1.18</v>
      </c>
      <c r="H122" s="55">
        <f t="shared" si="20"/>
        <v>109.46534073069375</v>
      </c>
      <c r="J122" s="152" t="s">
        <v>66</v>
      </c>
    </row>
    <row r="123" spans="1:10" ht="15.75" hidden="1" thickBot="1" x14ac:dyDescent="0.25">
      <c r="A123" s="30">
        <f t="shared" si="21"/>
        <v>2014</v>
      </c>
      <c r="B123" s="31" t="s">
        <v>18</v>
      </c>
      <c r="C123" s="119">
        <f>C121</f>
        <v>127.17159000000001</v>
      </c>
      <c r="D123" s="119">
        <v>158.9</v>
      </c>
      <c r="E123" s="119">
        <v>130.9</v>
      </c>
      <c r="F123" s="154">
        <f>+F$121*(103.5/103.3)</f>
        <v>99.091481122942895</v>
      </c>
      <c r="G123" s="120">
        <v>1.23</v>
      </c>
      <c r="H123" s="101">
        <f t="shared" si="20"/>
        <v>108.97563640985736</v>
      </c>
    </row>
    <row r="124" spans="1:10" ht="15" hidden="1" x14ac:dyDescent="0.2">
      <c r="A124" s="2">
        <v>2015</v>
      </c>
      <c r="B124" s="142" t="s">
        <v>8</v>
      </c>
      <c r="C124" s="114">
        <v>127.7</v>
      </c>
      <c r="D124" s="114">
        <v>158.30000000000001</v>
      </c>
      <c r="E124" s="114">
        <v>130.6</v>
      </c>
      <c r="F124" s="153">
        <f>+F$121*(103.4/103.3)</f>
        <v>98.995740561471465</v>
      </c>
      <c r="G124" s="116">
        <v>1.17</v>
      </c>
      <c r="H124" s="55">
        <f t="shared" ref="H124:H147" si="22">100+((C124-$C$40)/$C$40*100*$C$2)+((D124-$D$40)/$D$40*100*$D$2)+((E124-$E$40)/$E$40*100*$E$2)+((F124-$F$40)/$F$40*100*$F$2)+((G124-$G$40)/$G$40*100*$G$2)</f>
        <v>109.09102214962684</v>
      </c>
    </row>
    <row r="125" spans="1:10" ht="15" hidden="1" x14ac:dyDescent="0.2">
      <c r="A125" s="10">
        <f>A124</f>
        <v>2015</v>
      </c>
      <c r="B125" t="s">
        <v>9</v>
      </c>
      <c r="C125" s="114">
        <f>C124</f>
        <v>127.7</v>
      </c>
      <c r="D125" s="114">
        <v>146.4</v>
      </c>
      <c r="E125" s="114">
        <v>130.30000000000001</v>
      </c>
      <c r="F125" s="153">
        <f>+F$121*(103.8/103.3)</f>
        <v>99.378702807357229</v>
      </c>
      <c r="G125" s="116">
        <v>1.1000000000000001</v>
      </c>
      <c r="H125" s="55">
        <f t="shared" si="22"/>
        <v>107.60102193343101</v>
      </c>
    </row>
    <row r="126" spans="1:10" ht="15" hidden="1" x14ac:dyDescent="0.2">
      <c r="A126" s="12">
        <f t="shared" ref="A126:A135" si="23">A125</f>
        <v>2015</v>
      </c>
      <c r="B126" s="13" t="s">
        <v>10</v>
      </c>
      <c r="C126" s="117">
        <f>C124</f>
        <v>127.7</v>
      </c>
      <c r="D126" s="117">
        <v>139.80000000000001</v>
      </c>
      <c r="E126" s="117">
        <v>129.6</v>
      </c>
      <c r="F126" s="155">
        <v>99.8</v>
      </c>
      <c r="G126" s="118">
        <v>0.87</v>
      </c>
      <c r="H126" s="136">
        <f t="shared" si="22"/>
        <v>106.51656379649668</v>
      </c>
    </row>
    <row r="127" spans="1:10" ht="15" hidden="1" x14ac:dyDescent="0.2">
      <c r="A127" s="17">
        <f t="shared" si="23"/>
        <v>2015</v>
      </c>
      <c r="B127" s="142" t="s">
        <v>11</v>
      </c>
      <c r="C127" s="114">
        <f>126.9*1.0101</f>
        <v>128.18169</v>
      </c>
      <c r="D127" s="114">
        <v>148.1</v>
      </c>
      <c r="E127" s="114">
        <v>130.9</v>
      </c>
      <c r="F127" s="153">
        <v>100</v>
      </c>
      <c r="G127" s="116">
        <v>0.82</v>
      </c>
      <c r="H127" s="55">
        <f t="shared" si="22"/>
        <v>107.81647390481069</v>
      </c>
    </row>
    <row r="128" spans="1:10" ht="15" hidden="1" x14ac:dyDescent="0.2">
      <c r="A128" s="10">
        <f t="shared" si="23"/>
        <v>2015</v>
      </c>
      <c r="B128" t="s">
        <v>12</v>
      </c>
      <c r="C128" s="114">
        <f>126.9*1.0101</f>
        <v>128.18169</v>
      </c>
      <c r="D128" s="114">
        <v>149.1</v>
      </c>
      <c r="E128" s="114">
        <v>131.5</v>
      </c>
      <c r="F128" s="153">
        <v>100.3</v>
      </c>
      <c r="G128" s="116">
        <v>0.84</v>
      </c>
      <c r="H128" s="55">
        <f t="shared" si="22"/>
        <v>108.0300435832911</v>
      </c>
    </row>
    <row r="129" spans="1:10" ht="15.75" hidden="1" thickBot="1" x14ac:dyDescent="0.25">
      <c r="A129" s="30">
        <f t="shared" si="23"/>
        <v>2015</v>
      </c>
      <c r="B129" s="31" t="s">
        <v>13</v>
      </c>
      <c r="C129" s="119">
        <f>126.9*1.0101</f>
        <v>128.18169</v>
      </c>
      <c r="D129" s="119">
        <v>150.1</v>
      </c>
      <c r="E129" s="119">
        <f>E128*(1+(((SUM(E$112:E$123)-SUM(E$100:E$111))/SUM(E$100:E$111))/12))</f>
        <v>131.56710611258526</v>
      </c>
      <c r="F129" s="154">
        <f>+F$121*(106/103.3)</f>
        <v>101.48499515972897</v>
      </c>
      <c r="G129" s="120">
        <v>0.76</v>
      </c>
      <c r="H129" s="101">
        <f t="shared" si="22"/>
        <v>108.16294508673766</v>
      </c>
    </row>
    <row r="130" spans="1:10" ht="15" hidden="1" x14ac:dyDescent="0.2">
      <c r="A130" s="10">
        <f t="shared" si="23"/>
        <v>2015</v>
      </c>
      <c r="B130" t="s">
        <v>30</v>
      </c>
      <c r="C130" s="114">
        <f>127.2*1.0101</f>
        <v>128.48472000000001</v>
      </c>
      <c r="D130" s="114">
        <v>151.5</v>
      </c>
      <c r="E130" s="114">
        <f>E129*(1+(((SUM(E$112:E$123)-SUM(E$100:E$111))/SUM(E$100:E$111))/12))</f>
        <v>131.63424647026821</v>
      </c>
      <c r="F130" s="153">
        <f>+F$121*(106/103.3)</f>
        <v>101.48499515972897</v>
      </c>
      <c r="G130" s="116">
        <v>0.99</v>
      </c>
      <c r="H130" s="55">
        <f t="shared" si="22"/>
        <v>108.79099023339268</v>
      </c>
    </row>
    <row r="131" spans="1:10" ht="15" hidden="1" x14ac:dyDescent="0.2">
      <c r="A131" s="10">
        <f t="shared" si="23"/>
        <v>2015</v>
      </c>
      <c r="B131" t="s">
        <v>14</v>
      </c>
      <c r="C131" s="114">
        <f>127.2*1.0101</f>
        <v>128.48472000000001</v>
      </c>
      <c r="D131" s="114">
        <v>150.30000000000001</v>
      </c>
      <c r="E131" s="114">
        <v>131.6</v>
      </c>
      <c r="F131" s="153">
        <f>+F$121*(106.2/103.3)</f>
        <v>101.67647628267183</v>
      </c>
      <c r="G131" s="116">
        <v>1.1100000000000001</v>
      </c>
      <c r="H131" s="55">
        <f t="shared" si="22"/>
        <v>108.81445242973098</v>
      </c>
    </row>
    <row r="132" spans="1:10" ht="15" hidden="1" x14ac:dyDescent="0.2">
      <c r="A132" s="12">
        <f t="shared" si="23"/>
        <v>2015</v>
      </c>
      <c r="B132" s="13" t="s">
        <v>15</v>
      </c>
      <c r="C132" s="117">
        <f>127.2*1.0101</f>
        <v>128.48472000000001</v>
      </c>
      <c r="D132" s="117">
        <v>147.19999999999999</v>
      </c>
      <c r="E132" s="117">
        <v>131.5</v>
      </c>
      <c r="F132" s="155">
        <f>+F$121*(106.3/103.3)</f>
        <v>101.77221684414327</v>
      </c>
      <c r="G132" s="118">
        <v>1</v>
      </c>
      <c r="H132" s="136">
        <f t="shared" si="22"/>
        <v>108.30898762031161</v>
      </c>
    </row>
    <row r="133" spans="1:10" ht="15" hidden="1" x14ac:dyDescent="0.2">
      <c r="A133" s="17">
        <f t="shared" si="23"/>
        <v>2015</v>
      </c>
      <c r="B133" s="142" t="s">
        <v>16</v>
      </c>
      <c r="C133" s="114">
        <f>127.8*1.0101</f>
        <v>129.09078</v>
      </c>
      <c r="D133" s="114">
        <v>141.69999999999999</v>
      </c>
      <c r="E133" s="114">
        <v>131.1</v>
      </c>
      <c r="F133" s="153">
        <f>+F$121*(106.5/103.3)</f>
        <v>101.96369796708616</v>
      </c>
      <c r="G133" s="116">
        <v>1.07</v>
      </c>
      <c r="H133" s="55">
        <f t="shared" si="22"/>
        <v>108.06715817417275</v>
      </c>
    </row>
    <row r="134" spans="1:10" ht="15" hidden="1" x14ac:dyDescent="0.2">
      <c r="A134" s="10">
        <f t="shared" si="23"/>
        <v>2015</v>
      </c>
      <c r="B134" t="s">
        <v>17</v>
      </c>
      <c r="C134" s="114">
        <f>127.8*1.0101</f>
        <v>129.09078</v>
      </c>
      <c r="D134" s="114">
        <v>139.30000000000001</v>
      </c>
      <c r="E134" s="114">
        <v>131.4</v>
      </c>
      <c r="F134" s="153">
        <f>+F$121*(106.5/103.3)</f>
        <v>101.96369796708616</v>
      </c>
      <c r="G134" s="116">
        <v>1.1200000000000001</v>
      </c>
      <c r="H134" s="55">
        <f t="shared" si="22"/>
        <v>107.86511619099869</v>
      </c>
    </row>
    <row r="135" spans="1:10" ht="15.75" hidden="1" thickBot="1" x14ac:dyDescent="0.25">
      <c r="A135" s="30">
        <f t="shared" si="23"/>
        <v>2015</v>
      </c>
      <c r="B135" s="31" t="s">
        <v>18</v>
      </c>
      <c r="C135" s="119">
        <f>127.8*1.0101</f>
        <v>129.09078</v>
      </c>
      <c r="D135" s="119">
        <v>139.80000000000001</v>
      </c>
      <c r="E135" s="119">
        <v>131.4</v>
      </c>
      <c r="F135" s="154">
        <f>+F$121*(106.7/103.3)</f>
        <v>102.15517909002905</v>
      </c>
      <c r="G135" s="120">
        <v>1.08</v>
      </c>
      <c r="H135" s="101">
        <f>100+((C135-$C$40)/$C$40*100*$C$2)+((D135-$D$40)/$D$40*100*$D$2)+((E135-$E$40)/$E$40*100*$E$2)+((F135-$F$40)/$F$40*100*$F$2)+((G135-$G$40)/$G$40*100*$G$2)</f>
        <v>107.89207352797142</v>
      </c>
    </row>
    <row r="136" spans="1:10" ht="15" hidden="1" x14ac:dyDescent="0.2">
      <c r="A136" s="2">
        <v>2016</v>
      </c>
      <c r="B136" s="142" t="s">
        <v>8</v>
      </c>
      <c r="C136" s="114">
        <f>128.2*1.0101</f>
        <v>129.49481999999998</v>
      </c>
      <c r="D136" s="114">
        <v>138.5</v>
      </c>
      <c r="E136" s="114">
        <v>131</v>
      </c>
      <c r="F136" s="153">
        <f>+F$121*(106.8/103.3)</f>
        <v>102.25091965150048</v>
      </c>
      <c r="G136" s="116">
        <v>1.03</v>
      </c>
      <c r="H136" s="55">
        <f t="shared" si="22"/>
        <v>107.87881342950875</v>
      </c>
    </row>
    <row r="137" spans="1:10" ht="15" hidden="1" x14ac:dyDescent="0.2">
      <c r="A137" s="10">
        <f>A136</f>
        <v>2016</v>
      </c>
      <c r="B137" t="s">
        <v>9</v>
      </c>
      <c r="C137" s="114">
        <f>128.2*1.0101</f>
        <v>129.49481999999998</v>
      </c>
      <c r="D137" s="114">
        <v>130.4</v>
      </c>
      <c r="E137" s="114">
        <f>E136*(1+(((SUM(E$124:E$135)-SUM(E$112:E$123))/SUM(E$112:E$123))/12))</f>
        <v>131.04950389465483</v>
      </c>
      <c r="F137" s="153">
        <f>+F$121*(106.8/103.3)</f>
        <v>102.25091965150048</v>
      </c>
      <c r="G137" s="116">
        <v>1.0900000000000001</v>
      </c>
      <c r="H137" s="55">
        <f t="shared" si="22"/>
        <v>106.99342825452445</v>
      </c>
    </row>
    <row r="138" spans="1:10" ht="15" hidden="1" x14ac:dyDescent="0.2">
      <c r="A138" s="12">
        <f t="shared" ref="A138:A147" si="24">A137</f>
        <v>2016</v>
      </c>
      <c r="B138" s="13" t="s">
        <v>10</v>
      </c>
      <c r="C138" s="117">
        <f>128.2*1.0101</f>
        <v>129.49481999999998</v>
      </c>
      <c r="D138" s="161">
        <f>130.4/90.3*87</f>
        <v>125.63455149501662</v>
      </c>
      <c r="E138" s="161">
        <f>131/99.8*99.4</f>
        <v>130.47494989979961</v>
      </c>
      <c r="F138" s="155">
        <f>+F$121*(106.9/103.3)</f>
        <v>102.34666021297194</v>
      </c>
      <c r="G138" s="118">
        <f>+G137</f>
        <v>1.0900000000000001</v>
      </c>
      <c r="H138" s="136">
        <f t="shared" si="22"/>
        <v>106.39519100504542</v>
      </c>
      <c r="J138" s="162" t="s">
        <v>70</v>
      </c>
    </row>
    <row r="139" spans="1:10" ht="15" hidden="1" x14ac:dyDescent="0.2">
      <c r="A139" s="17">
        <f t="shared" si="24"/>
        <v>2016</v>
      </c>
      <c r="B139" s="142" t="s">
        <v>11</v>
      </c>
      <c r="C139" s="114">
        <f>128.7*1.0101</f>
        <v>129.99986999999999</v>
      </c>
      <c r="D139" s="169">
        <f>130.4/90.3*85.6</f>
        <v>123.61284606866002</v>
      </c>
      <c r="E139" s="169">
        <f>131/99.8*100.1</f>
        <v>131.3937875751503</v>
      </c>
      <c r="F139" s="153">
        <f>+F$121*(106.9/103.3)</f>
        <v>102.34666021297194</v>
      </c>
      <c r="G139" s="116">
        <v>0.96</v>
      </c>
      <c r="H139" s="55">
        <f t="shared" si="22"/>
        <v>106.33366536060261</v>
      </c>
    </row>
    <row r="140" spans="1:10" ht="15" hidden="1" x14ac:dyDescent="0.2">
      <c r="A140" s="10">
        <f t="shared" si="24"/>
        <v>2016</v>
      </c>
      <c r="B140" t="s">
        <v>12</v>
      </c>
      <c r="C140" s="114">
        <f>128.7*1.0101</f>
        <v>129.99986999999999</v>
      </c>
      <c r="D140" s="169">
        <f>130.4/90.3*90.2</f>
        <v>130.25559246954597</v>
      </c>
      <c r="E140" s="169">
        <f>131/99.8*100.2</f>
        <v>131.52505010020042</v>
      </c>
      <c r="F140" s="153">
        <f>+F$121*(107/103.3)</f>
        <v>102.44240077444337</v>
      </c>
      <c r="G140" s="116">
        <v>0.85</v>
      </c>
      <c r="H140" s="55">
        <f t="shared" si="22"/>
        <v>107.00406949674672</v>
      </c>
    </row>
    <row r="141" spans="1:10" ht="15.75" hidden="1" thickBot="1" x14ac:dyDescent="0.25">
      <c r="A141" s="30">
        <f t="shared" si="24"/>
        <v>2016</v>
      </c>
      <c r="B141" s="31" t="s">
        <v>13</v>
      </c>
      <c r="C141" s="119">
        <f>128.7*1.0101</f>
        <v>129.99986999999999</v>
      </c>
      <c r="D141" s="170">
        <f>130.4/90.3*89.7</f>
        <v>129.53355481727576</v>
      </c>
      <c r="E141" s="170">
        <f>131/99.8*100.3</f>
        <v>131.65631262525051</v>
      </c>
      <c r="F141" s="154">
        <f>+F$121*(106.8/103.3)</f>
        <v>102.25091965150048</v>
      </c>
      <c r="G141" s="120">
        <v>0.87</v>
      </c>
      <c r="H141" s="101">
        <f t="shared" si="22"/>
        <v>106.93461364985474</v>
      </c>
    </row>
    <row r="142" spans="1:10" ht="15" hidden="1" x14ac:dyDescent="0.2">
      <c r="A142" s="10">
        <f t="shared" si="24"/>
        <v>2016</v>
      </c>
      <c r="B142" t="s">
        <v>30</v>
      </c>
      <c r="C142" s="114">
        <f>129.4*1.0101</f>
        <v>130.70694</v>
      </c>
      <c r="D142" s="169">
        <f>130.4/90.3*92.2</f>
        <v>133.14374307862681</v>
      </c>
      <c r="E142" s="169">
        <f>131/99.8*100.5</f>
        <v>131.91883767535072</v>
      </c>
      <c r="F142" s="153">
        <f>+F$121*(106.7/103.3)</f>
        <v>102.15517909002905</v>
      </c>
      <c r="G142" s="116">
        <v>0.83</v>
      </c>
      <c r="H142" s="55">
        <f t="shared" si="22"/>
        <v>107.71403946693806</v>
      </c>
    </row>
    <row r="143" spans="1:10" ht="15" hidden="1" x14ac:dyDescent="0.2">
      <c r="A143" s="10">
        <f t="shared" si="24"/>
        <v>2016</v>
      </c>
      <c r="B143" t="s">
        <v>14</v>
      </c>
      <c r="C143" s="114">
        <f>129.4*1.0101</f>
        <v>130.70694</v>
      </c>
      <c r="D143" s="169">
        <f>130.4/90.3*95.9</f>
        <v>138.48682170542637</v>
      </c>
      <c r="E143" s="169">
        <f>131/99.8*100.6</f>
        <v>132.05010020040081</v>
      </c>
      <c r="F143" s="153">
        <f>+F$121*(107/103.3)</f>
        <v>102.44240077444337</v>
      </c>
      <c r="G143" s="116">
        <v>0.6</v>
      </c>
      <c r="H143" s="55">
        <f t="shared" si="22"/>
        <v>108.09652584565558</v>
      </c>
    </row>
    <row r="144" spans="1:10" ht="15" hidden="1" x14ac:dyDescent="0.2">
      <c r="A144" s="12">
        <f t="shared" si="24"/>
        <v>2016</v>
      </c>
      <c r="B144" s="13" t="s">
        <v>15</v>
      </c>
      <c r="C144" s="117">
        <f>129.4*1.0101</f>
        <v>130.70694</v>
      </c>
      <c r="D144" s="161">
        <f>130.4/90.3*93.1</f>
        <v>134.44341085271319</v>
      </c>
      <c r="E144" s="161">
        <f>131/99.8*100.5</f>
        <v>131.91883767535072</v>
      </c>
      <c r="F144" s="155">
        <f>+F$121*(107.2/103.3)</f>
        <v>102.63388189738627</v>
      </c>
      <c r="G144" s="118">
        <v>0.63</v>
      </c>
      <c r="H144" s="136">
        <f t="shared" si="22"/>
        <v>107.66155947609626</v>
      </c>
    </row>
    <row r="145" spans="1:17" ht="15" hidden="1" x14ac:dyDescent="0.2">
      <c r="A145" s="17">
        <f t="shared" si="24"/>
        <v>2016</v>
      </c>
      <c r="B145" s="142" t="s">
        <v>16</v>
      </c>
      <c r="C145" s="114">
        <f>130*1.0101</f>
        <v>131.31299999999999</v>
      </c>
      <c r="D145" s="169">
        <f>130.4/90.3*91.1</f>
        <v>131.55526024363235</v>
      </c>
      <c r="E145" s="169">
        <f>131/99.8*100.2</f>
        <v>131.52505010020042</v>
      </c>
      <c r="F145" s="153">
        <f>+F$121*(107.1/103.3)</f>
        <v>102.53814133591482</v>
      </c>
      <c r="G145" s="116">
        <v>0.64</v>
      </c>
      <c r="H145" s="55">
        <f t="shared" si="22"/>
        <v>107.62900109168257</v>
      </c>
    </row>
    <row r="146" spans="1:17" ht="15" hidden="1" x14ac:dyDescent="0.2">
      <c r="A146" s="10"/>
      <c r="B146" t="s">
        <v>17</v>
      </c>
      <c r="C146" s="114">
        <f>130*1.0101</f>
        <v>131.31299999999999</v>
      </c>
      <c r="D146" s="169">
        <f>130.4/90.3*93.8</f>
        <v>135.45426356589147</v>
      </c>
      <c r="E146" s="169">
        <f>131/99.8*100.2</f>
        <v>131.52505010020042</v>
      </c>
      <c r="F146" s="153">
        <f>+F$121*(107.2/103.3)</f>
        <v>102.63388189738627</v>
      </c>
      <c r="G146" s="116">
        <v>0.56000000000000005</v>
      </c>
      <c r="H146" s="55">
        <f t="shared" si="22"/>
        <v>108.00141321946754</v>
      </c>
    </row>
    <row r="147" spans="1:17" ht="15.75" hidden="1" thickBot="1" x14ac:dyDescent="0.25">
      <c r="A147" s="30">
        <f t="shared" si="24"/>
        <v>0</v>
      </c>
      <c r="B147" s="31" t="s">
        <v>18</v>
      </c>
      <c r="C147" s="119">
        <f>130*1.0101</f>
        <v>131.31299999999999</v>
      </c>
      <c r="D147" s="170">
        <f>130.4/90.3*97.5</f>
        <v>140.79734219269105</v>
      </c>
      <c r="E147" s="170">
        <f>131/99.8*100.4</f>
        <v>131.78757515030063</v>
      </c>
      <c r="F147" s="154">
        <f>+F$121*(107.2/103.3)</f>
        <v>102.63388189738627</v>
      </c>
      <c r="G147" s="120">
        <v>0.77</v>
      </c>
      <c r="H147" s="101">
        <f t="shared" si="22"/>
        <v>108.91982850502217</v>
      </c>
      <c r="L147" s="114"/>
      <c r="M147" s="114"/>
      <c r="N147" s="114"/>
      <c r="O147" s="171"/>
      <c r="P147" s="116"/>
      <c r="Q147" s="55"/>
    </row>
    <row r="148" spans="1:17" ht="15" hidden="1" x14ac:dyDescent="0.2">
      <c r="A148" s="2">
        <v>2017</v>
      </c>
      <c r="B148" s="142" t="s">
        <v>8</v>
      </c>
      <c r="C148" s="114">
        <f>130.5*1.0101</f>
        <v>131.81805</v>
      </c>
      <c r="D148" s="169">
        <f>130.4/90.3*95.3</f>
        <v>137.62037652270212</v>
      </c>
      <c r="E148" s="169">
        <f>131/99.8*100.3</f>
        <v>131.65631262525051</v>
      </c>
      <c r="F148" s="153">
        <f>+F$121*(107.2/103.3)</f>
        <v>102.63388189738627</v>
      </c>
      <c r="G148" s="116">
        <v>0.78</v>
      </c>
      <c r="H148" s="55">
        <f>100+((C148-$C$40)/$C$40*100*$C$2)+((D148-$D$40)/$D$40*100*$D$2)+((E148-$E$40)/$E$40*100*$E$2)+((F148-$F$40)/$F$40*100*$F$2)+((G148-$G$40)/$G$40*100*$G$2)</f>
        <v>108.82413829511057</v>
      </c>
    </row>
    <row r="149" spans="1:17" ht="15" hidden="1" customHeight="1" x14ac:dyDescent="0.2">
      <c r="A149" s="10">
        <f>A148</f>
        <v>2017</v>
      </c>
      <c r="B149" t="s">
        <v>9</v>
      </c>
      <c r="C149" s="114">
        <f>C146*(1+(((SUM(C$136:C$147)-SUM(C$124:C$135))/SUM(C$124:C$135))/4))</f>
        <v>131.82815814722545</v>
      </c>
      <c r="D149" s="169">
        <f>130.4/90.3*100.4</f>
        <v>144.98516057585826</v>
      </c>
      <c r="E149" s="169">
        <f>131/99.8*100.3</f>
        <v>131.65631262525051</v>
      </c>
      <c r="F149" s="153">
        <f>+F$121*(107.1/103.3)</f>
        <v>102.53814133591482</v>
      </c>
      <c r="G149" s="116">
        <v>0.73</v>
      </c>
      <c r="H149" s="55">
        <f t="shared" ref="H149:H157" si="25">100+((C149-$C$40)/$C$40*100*$C$2)+((D149-$D$40)/$D$40*100*$D$2)+((E149-$E$40)/$E$40*100*$E$2)+((F149-$F$40)/$F$40*100*$F$2)+((G149-$G$40)/$G$40*100*$G$2)</f>
        <v>109.63471583497558</v>
      </c>
    </row>
    <row r="150" spans="1:17" ht="15" hidden="1" customHeight="1" x14ac:dyDescent="0.2">
      <c r="A150" s="12">
        <f t="shared" ref="A150:A157" si="26">A149</f>
        <v>2017</v>
      </c>
      <c r="B150" s="13" t="s">
        <v>10</v>
      </c>
      <c r="C150" s="117">
        <f>C147*(1+(((SUM(C$136:C$147)-SUM(C$124:C$135))/SUM(C$124:C$135))/4))</f>
        <v>131.82815814722545</v>
      </c>
      <c r="D150" s="161">
        <f>130.4/90.3*102.6</f>
        <v>148.16212624584716</v>
      </c>
      <c r="E150" s="161">
        <f>131/99.8*100.3</f>
        <v>131.65631262525051</v>
      </c>
      <c r="F150" s="155">
        <f>+F$121*(107.4/103.3)</f>
        <v>102.82536302032916</v>
      </c>
      <c r="G150" s="118">
        <v>0.84</v>
      </c>
      <c r="H150" s="136">
        <f t="shared" si="25"/>
        <v>110.17791280294462</v>
      </c>
      <c r="M150" s="172"/>
      <c r="N150" s="172"/>
      <c r="O150" s="172"/>
      <c r="P150" s="172"/>
    </row>
    <row r="151" spans="1:17" ht="15" hidden="1" customHeight="1" x14ac:dyDescent="0.2">
      <c r="A151" s="17">
        <f t="shared" si="26"/>
        <v>2017</v>
      </c>
      <c r="B151" s="142" t="s">
        <v>11</v>
      </c>
      <c r="C151" s="114">
        <f>131.1*1.0101</f>
        <v>132.42410999999998</v>
      </c>
      <c r="D151" s="169">
        <f>130.4/90.3*100.7</f>
        <v>145.41838316722038</v>
      </c>
      <c r="E151" s="169">
        <f>131/99.8*101.1</f>
        <v>132.70641282565131</v>
      </c>
      <c r="F151" s="153">
        <f>+F$121*(107.5/103.3)</f>
        <v>102.92110358180059</v>
      </c>
      <c r="G151" s="116">
        <v>0.78</v>
      </c>
      <c r="H151" s="55">
        <f t="shared" si="25"/>
        <v>110.18666840076489</v>
      </c>
      <c r="L151" s="114"/>
      <c r="M151" s="171"/>
      <c r="N151" s="171"/>
      <c r="O151" s="171"/>
      <c r="P151" s="173"/>
      <c r="Q151" s="55"/>
    </row>
    <row r="152" spans="1:17" ht="15" hidden="1" customHeight="1" x14ac:dyDescent="0.2">
      <c r="A152" s="10">
        <f t="shared" si="26"/>
        <v>2017</v>
      </c>
      <c r="B152" t="s">
        <v>12</v>
      </c>
      <c r="C152" s="114">
        <f>131.1*1.0101</f>
        <v>132.42410999999998</v>
      </c>
      <c r="D152" s="169">
        <f>130.4/90.3*99.1</f>
        <v>143.1078626799557</v>
      </c>
      <c r="E152" s="169">
        <f>131/99.8*101.2</f>
        <v>132.8376753507014</v>
      </c>
      <c r="F152" s="153">
        <f>+F$121*(107.9/103.3)</f>
        <v>103.30406582768636</v>
      </c>
      <c r="G152" s="116">
        <v>0.67</v>
      </c>
      <c r="H152" s="55">
        <f t="shared" si="25"/>
        <v>109.81782942046338</v>
      </c>
    </row>
    <row r="153" spans="1:17" ht="15" hidden="1" customHeight="1" thickBot="1" x14ac:dyDescent="0.25">
      <c r="A153" s="30">
        <f t="shared" si="26"/>
        <v>2017</v>
      </c>
      <c r="B153" s="31" t="s">
        <v>13</v>
      </c>
      <c r="C153" s="119">
        <f>131.1*1.0101</f>
        <v>132.42410999999998</v>
      </c>
      <c r="D153" s="170">
        <f>130.4/90.3*100.9</f>
        <v>145.70719822812848</v>
      </c>
      <c r="E153" s="170">
        <f>131/99.8*101.4</f>
        <v>133.10020040080161</v>
      </c>
      <c r="F153" s="154">
        <f>+F$121*(107.7/103.3)</f>
        <v>103.11258470474348</v>
      </c>
      <c r="G153" s="120">
        <v>0.75</v>
      </c>
      <c r="H153" s="101">
        <f t="shared" si="25"/>
        <v>110.22833861979277</v>
      </c>
      <c r="J153" s="5"/>
    </row>
    <row r="154" spans="1:17" ht="15" hidden="1" customHeight="1" x14ac:dyDescent="0.2">
      <c r="A154" s="10">
        <f t="shared" si="26"/>
        <v>2017</v>
      </c>
      <c r="B154" t="s">
        <v>30</v>
      </c>
      <c r="C154" s="114">
        <f>131.4*1.0101</f>
        <v>132.72713999999999</v>
      </c>
      <c r="D154" s="169">
        <f>130.4/90.3*97.2</f>
        <v>140.36411960132892</v>
      </c>
      <c r="E154" s="169">
        <f>131/99.8*101.3</f>
        <v>132.96893787575152</v>
      </c>
      <c r="F154" s="153">
        <f>+F$121*(107.7/103.3)</f>
        <v>103.11258470474348</v>
      </c>
      <c r="G154" s="116">
        <f>+G153</f>
        <v>0.75</v>
      </c>
      <c r="H154" s="55">
        <f t="shared" si="25"/>
        <v>109.75058594376397</v>
      </c>
      <c r="L154" s="114"/>
      <c r="M154" s="171"/>
      <c r="N154" s="171"/>
      <c r="O154" s="171"/>
      <c r="P154" s="116"/>
      <c r="Q154" s="55"/>
    </row>
    <row r="155" spans="1:17" ht="15" hidden="1" customHeight="1" x14ac:dyDescent="0.2">
      <c r="A155" s="10">
        <f t="shared" si="26"/>
        <v>2017</v>
      </c>
      <c r="B155" t="s">
        <v>14</v>
      </c>
      <c r="C155" s="114">
        <f>131.4*1.0101</f>
        <v>132.72713999999999</v>
      </c>
      <c r="D155" s="169">
        <f>130.4/90.3*94.3</f>
        <v>136.17630121816168</v>
      </c>
      <c r="E155" s="169">
        <f>131/99.8*101.2</f>
        <v>132.8376753507014</v>
      </c>
      <c r="F155" s="153">
        <f>+F$121*(107.9/103.3)</f>
        <v>103.30406582768636</v>
      </c>
      <c r="G155" s="116">
        <v>0.66</v>
      </c>
      <c r="H155" s="55">
        <f t="shared" si="25"/>
        <v>109.14748480530514</v>
      </c>
    </row>
    <row r="156" spans="1:17" ht="15" hidden="1" customHeight="1" x14ac:dyDescent="0.2">
      <c r="A156" s="12">
        <f t="shared" si="26"/>
        <v>2017</v>
      </c>
      <c r="B156" s="13" t="s">
        <v>15</v>
      </c>
      <c r="C156" s="117">
        <f>131.4*1.0101</f>
        <v>132.72713999999999</v>
      </c>
      <c r="D156" s="161">
        <f>130.4/90.3*94.3</f>
        <v>136.17630121816168</v>
      </c>
      <c r="E156" s="161">
        <f>131/99.8*102</f>
        <v>133.88777555110221</v>
      </c>
      <c r="F156" s="155">
        <f>+F$121*(108.4/103.3)</f>
        <v>103.78276863504357</v>
      </c>
      <c r="G156" s="118">
        <v>0.63</v>
      </c>
      <c r="H156" s="136">
        <f t="shared" si="25"/>
        <v>109.22685315140764</v>
      </c>
    </row>
    <row r="157" spans="1:17" ht="15.75" hidden="1" customHeight="1" x14ac:dyDescent="0.2">
      <c r="A157" s="17">
        <f t="shared" si="26"/>
        <v>2017</v>
      </c>
      <c r="B157" s="142" t="s">
        <v>16</v>
      </c>
      <c r="C157" s="114">
        <f>132.2*1.0101</f>
        <v>133.53521999999998</v>
      </c>
      <c r="D157" s="169">
        <f>130.4/90.3*94.4</f>
        <v>136.32070874861574</v>
      </c>
      <c r="E157" s="169">
        <f>131/99.8*101.7</f>
        <v>133.49398797595191</v>
      </c>
      <c r="F157" s="153">
        <f>+F$121*(108.3/103.3)</f>
        <v>103.68702807357212</v>
      </c>
      <c r="G157" s="116">
        <v>0.56999999999999995</v>
      </c>
      <c r="H157" s="55">
        <f t="shared" si="25"/>
        <v>109.57887653833217</v>
      </c>
      <c r="J157" s="10"/>
      <c r="M157" s="171"/>
      <c r="N157" s="171"/>
      <c r="O157" s="171"/>
      <c r="P157" s="116"/>
      <c r="Q157" s="55"/>
    </row>
    <row r="158" spans="1:17" ht="15.75" hidden="1" customHeight="1" x14ac:dyDescent="0.2">
      <c r="A158" s="10">
        <f>A157</f>
        <v>2017</v>
      </c>
      <c r="B158" t="s">
        <v>17</v>
      </c>
      <c r="C158" s="114">
        <f>132.2*1.0101</f>
        <v>133.53521999999998</v>
      </c>
      <c r="D158" s="169">
        <f>130.4/90.3*97.4</f>
        <v>140.65293466223702</v>
      </c>
      <c r="E158" s="169">
        <f>131/99.8*101.8</f>
        <v>133.625250501002</v>
      </c>
      <c r="F158" s="153">
        <f>+F$121*(108.1/103.3)</f>
        <v>103.49554695062925</v>
      </c>
      <c r="G158" s="116">
        <v>0.52</v>
      </c>
      <c r="H158" s="55">
        <f>100+((C158-$C$40)/$C$40*100*$C$2)+((D158-$D$40)/$D$40*100*$D$2)+((E158-$E$40)/$E$40*100*$E$2)+((F158-$F$40)/$F$40*100*$F$2)+((G158-$G$40)/$G$40*100*$G$2)</f>
        <v>110.02306842053328</v>
      </c>
      <c r="J158" s="10"/>
      <c r="M158" s="171"/>
      <c r="N158" s="171"/>
      <c r="O158" s="171"/>
      <c r="P158" s="116"/>
      <c r="Q158" s="55"/>
    </row>
    <row r="159" spans="1:17" ht="15.75" hidden="1" thickBot="1" x14ac:dyDescent="0.25">
      <c r="A159" s="30">
        <f>A158</f>
        <v>2017</v>
      </c>
      <c r="B159" s="31" t="s">
        <v>18</v>
      </c>
      <c r="C159" s="119">
        <f>132.2*1.0101</f>
        <v>133.53521999999998</v>
      </c>
      <c r="D159" s="170">
        <f>130.4/90.3*99.5</f>
        <v>143.68549280177189</v>
      </c>
      <c r="E159" s="170">
        <f>131/99.8*101.9</f>
        <v>133.75651302605212</v>
      </c>
      <c r="F159" s="154">
        <f>+F$121*(108.5/103.3)</f>
        <v>103.87850919651501</v>
      </c>
      <c r="G159" s="120">
        <v>0.63</v>
      </c>
      <c r="H159" s="101">
        <f>100+((C159-$C$40)/$C$40*100*$C$2)+((D159-$D$40)/$D$40*100*$D$2)+((E159-$E$40)/$E$40*100*$E$2)+((F159-$F$40)/$F$40*100*$F$2)+((G159-$G$40)/$G$40*100*$G$2)</f>
        <v>110.56703978888491</v>
      </c>
      <c r="J159" s="10"/>
      <c r="M159" s="171"/>
      <c r="N159" s="171"/>
      <c r="O159" s="171"/>
      <c r="P159" s="116"/>
      <c r="Q159" s="55"/>
    </row>
    <row r="160" spans="1:17" ht="15.75" hidden="1" x14ac:dyDescent="0.25">
      <c r="A160" s="2" t="s">
        <v>69</v>
      </c>
      <c r="B160" s="2" t="s">
        <v>28</v>
      </c>
      <c r="C160" s="65">
        <f>(Indeks!C163/Indeks!C$40*Indeks!C$2)/Indeks!$H$163*100</f>
        <v>0.59936718313663395</v>
      </c>
      <c r="D160" s="65">
        <f>(Indeks!D163/Indeks!D$40*Indeks!D$2)/Indeks!$H$163*100</f>
        <v>0.24233755306267946</v>
      </c>
      <c r="E160" s="65">
        <f>(Indeks!E163/Indeks!E$40*Indeks!E$2)/Indeks!$H$163*100</f>
        <v>7.4428691833688568E-2</v>
      </c>
      <c r="F160" s="65">
        <f>(Indeks!F163/Indeks!F$40*Indeks!F$2)/Indeks!$H$163*100</f>
        <v>7.7665812432695561E-2</v>
      </c>
      <c r="G160" s="65">
        <f>(Indeks!G163/Indeks!G$40*Indeks!G$2)/Indeks!$H$163*100</f>
        <v>6.2007595343024731E-3</v>
      </c>
      <c r="H160" s="25"/>
    </row>
    <row r="161" spans="1:17" ht="15" hidden="1" x14ac:dyDescent="0.2">
      <c r="A161" t="s">
        <v>1</v>
      </c>
      <c r="B161" t="s">
        <v>2</v>
      </c>
      <c r="C161" s="2" t="s">
        <v>3</v>
      </c>
      <c r="D161" s="26" t="s">
        <v>76</v>
      </c>
      <c r="E161" s="2" t="s">
        <v>5</v>
      </c>
      <c r="F161" s="7" t="s">
        <v>6</v>
      </c>
      <c r="G161" s="2" t="s">
        <v>7</v>
      </c>
      <c r="H161" s="177" t="s">
        <v>0</v>
      </c>
      <c r="I161" t="s">
        <v>20</v>
      </c>
    </row>
    <row r="162" spans="1:17" ht="15" hidden="1" x14ac:dyDescent="0.2">
      <c r="A162" s="2">
        <v>2018</v>
      </c>
      <c r="B162" s="142" t="s">
        <v>8</v>
      </c>
      <c r="C162" s="114">
        <f>132.9*1.0101</f>
        <v>134.24229</v>
      </c>
      <c r="D162" s="201">
        <f>+'Beregning HVO indeks'!C23</f>
        <v>259.86139518637037</v>
      </c>
      <c r="E162" s="169">
        <f>131/99.8*101.6</f>
        <v>133.36272545090179</v>
      </c>
      <c r="F162" s="153">
        <f>98.9*(108.7/103.3)</f>
        <v>104.0699903194579</v>
      </c>
      <c r="G162" s="116">
        <v>0.67</v>
      </c>
      <c r="H162" s="55">
        <f>(100+((C162-$C$163)/$C$163*100*$C$160)+((D162-$D$163)/$D$163*100*$D$160)+((E162-$E$163)/$E$163*100*$E$160)+((F162-$F$163)/$F$163*100*$F$160)+((G162-$G$163)/$G$163*100*$G$160))*$H$163/100</f>
        <v>124.82893789570576</v>
      </c>
      <c r="J162" s="206"/>
      <c r="K162" s="213"/>
      <c r="P162" s="55"/>
    </row>
    <row r="163" spans="1:17" ht="15" hidden="1" x14ac:dyDescent="0.2">
      <c r="A163" s="10">
        <f>A162</f>
        <v>2018</v>
      </c>
      <c r="B163" t="s">
        <v>9</v>
      </c>
      <c r="C163" s="114">
        <f>132.9*1.0101</f>
        <v>134.24229</v>
      </c>
      <c r="D163" s="171">
        <f>+'Beregning HVO indeks'!I13</f>
        <v>251.89399894453337</v>
      </c>
      <c r="E163" s="169">
        <f>131/99.8*101.3</f>
        <v>132.96893787575152</v>
      </c>
      <c r="F163" s="153">
        <f>98.9*(108.3/103.3)</f>
        <v>103.68702807357212</v>
      </c>
      <c r="G163" s="116">
        <v>0.61</v>
      </c>
      <c r="H163" s="55">
        <f>100+((C163-$C$40)/$C$40*100*$C$2)+((D163-$D$40)/$D$40*100*$D$2)+((E163-$E$40)/$E$40*100*$E$2)+((F163-$F$40)/$F$40*100*$F$2)+((G163-$G$40)/$G$40*100*$G$2)</f>
        <v>123.74219532939689</v>
      </c>
      <c r="J163" s="142"/>
      <c r="P163" s="116"/>
      <c r="Q163" s="55"/>
    </row>
    <row r="164" spans="1:17" ht="15" hidden="1" x14ac:dyDescent="0.2">
      <c r="A164" s="12">
        <f t="shared" ref="A164:A173" si="27">A163</f>
        <v>2018</v>
      </c>
      <c r="B164" s="13" t="s">
        <v>10</v>
      </c>
      <c r="C164" s="117">
        <f>132.9*1.0101</f>
        <v>134.24229</v>
      </c>
      <c r="D164" s="210">
        <f>+'Beregning HVO indeks'!C25</f>
        <v>259.36506284973615</v>
      </c>
      <c r="E164" s="161">
        <f>131/99.8*101</f>
        <v>132.57515030060122</v>
      </c>
      <c r="F164" s="155">
        <f>98.9*(108.9/103.3)</f>
        <v>104.26147144240079</v>
      </c>
      <c r="G164" s="118">
        <v>0.81</v>
      </c>
      <c r="H164" s="136">
        <f t="shared" ref="H164:H185" si="28">(100+((C164-$C$163)/$C$163*100*$C$160)+((D164-$D$163)/$D$163*100*$D$160)+((E164-$E$163)/$E$163*100*$E$160)+((F164-$F$163)/$F$163*100*$F$160)+((G164-$G$163)/$G$163*100*$G$160))*$H$163/100</f>
        <v>124.90914867480056</v>
      </c>
      <c r="J164" s="142"/>
    </row>
    <row r="165" spans="1:17" ht="15" hidden="1" x14ac:dyDescent="0.2">
      <c r="A165" s="17">
        <f t="shared" si="27"/>
        <v>2018</v>
      </c>
      <c r="B165" s="142" t="s">
        <v>11</v>
      </c>
      <c r="C165" s="114">
        <f>133.4*1.0101</f>
        <v>134.74734000000001</v>
      </c>
      <c r="D165" s="171">
        <f>+'Beregning HVO indeks'!C26</f>
        <v>257.81434402786124</v>
      </c>
      <c r="E165" s="169">
        <f>131/99.8*101.7</f>
        <v>133.49398797595191</v>
      </c>
      <c r="F165" s="153">
        <f>98.9*(109/103.3)</f>
        <v>104.35721200387222</v>
      </c>
      <c r="G165" s="116">
        <v>0.77</v>
      </c>
      <c r="H165" s="55">
        <f t="shared" si="28"/>
        <v>125.02577440782331</v>
      </c>
      <c r="J165" s="142"/>
    </row>
    <row r="166" spans="1:17" ht="15" hidden="1" x14ac:dyDescent="0.2">
      <c r="A166" s="10">
        <f t="shared" si="27"/>
        <v>2018</v>
      </c>
      <c r="B166" t="s">
        <v>12</v>
      </c>
      <c r="C166" s="114">
        <f>133.4*1.0101</f>
        <v>134.74734000000001</v>
      </c>
      <c r="D166" s="201">
        <f>+'Beregning HVO indeks'!C27</f>
        <v>256.22884413086132</v>
      </c>
      <c r="E166" s="169">
        <f>131/99.8*101.7</f>
        <v>133.49398797595191</v>
      </c>
      <c r="F166" s="153">
        <f>98.9*(109/103.3)</f>
        <v>104.35721200387222</v>
      </c>
      <c r="G166" s="116">
        <v>0.62</v>
      </c>
      <c r="H166" s="55">
        <f t="shared" si="28"/>
        <v>124.64834517480217</v>
      </c>
      <c r="J166" s="142"/>
    </row>
    <row r="167" spans="1:17" ht="15.75" hidden="1" thickBot="1" x14ac:dyDescent="0.25">
      <c r="A167" s="30">
        <f t="shared" si="27"/>
        <v>2018</v>
      </c>
      <c r="B167" s="31" t="s">
        <v>13</v>
      </c>
      <c r="C167" s="119">
        <f>133.4*1.0101</f>
        <v>134.74734000000001</v>
      </c>
      <c r="D167" s="209">
        <f>+'Beregning HVO indeks'!C28</f>
        <v>263.82999648571183</v>
      </c>
      <c r="E167" s="170">
        <f>131/99.8*102.2</f>
        <v>134.15030060120242</v>
      </c>
      <c r="F167" s="154">
        <f>98.9*(109.1/103.3)</f>
        <v>104.45295256534367</v>
      </c>
      <c r="G167" s="120">
        <v>0.76</v>
      </c>
      <c r="H167" s="101">
        <f t="shared" si="28"/>
        <v>125.78367777315927</v>
      </c>
      <c r="I167" s="5"/>
      <c r="J167" s="142"/>
    </row>
    <row r="168" spans="1:17" ht="15" hidden="1" x14ac:dyDescent="0.2">
      <c r="A168" s="10">
        <f t="shared" si="27"/>
        <v>2018</v>
      </c>
      <c r="B168" t="s">
        <v>30</v>
      </c>
      <c r="C168" s="114">
        <f>134*1.0101</f>
        <v>135.35339999999999</v>
      </c>
      <c r="D168" s="201">
        <f>+'Beregning HVO indeks'!C29</f>
        <v>266.07789375669279</v>
      </c>
      <c r="E168" s="169">
        <f>131/99.8*102.4</f>
        <v>134.41282565130263</v>
      </c>
      <c r="F168" s="153">
        <f>98.9*(109.2/103.3)</f>
        <v>104.54869312681511</v>
      </c>
      <c r="G168" s="116">
        <v>0.6</v>
      </c>
      <c r="H168" s="55">
        <f t="shared" si="28"/>
        <v>126.21192405818607</v>
      </c>
    </row>
    <row r="169" spans="1:17" ht="15" hidden="1" x14ac:dyDescent="0.2">
      <c r="A169" s="10">
        <f t="shared" si="27"/>
        <v>2018</v>
      </c>
      <c r="B169" t="s">
        <v>14</v>
      </c>
      <c r="C169" s="114">
        <f>134*1.0101</f>
        <v>135.35339999999999</v>
      </c>
      <c r="D169" s="171">
        <f>+'Beregning HVO indeks'!C30</f>
        <v>267.60603685274725</v>
      </c>
      <c r="E169" s="169">
        <f>131/99.8*102.3</f>
        <v>134.28156312625251</v>
      </c>
      <c r="F169" s="153">
        <f>98.9*(108.2/103.3)</f>
        <v>103.59128751210068</v>
      </c>
      <c r="G169" s="116">
        <v>0.53</v>
      </c>
      <c r="H169" s="55">
        <f t="shared" si="28"/>
        <v>126.20796379995447</v>
      </c>
    </row>
    <row r="170" spans="1:17" ht="15" hidden="1" x14ac:dyDescent="0.2">
      <c r="A170" s="12">
        <f t="shared" si="27"/>
        <v>2018</v>
      </c>
      <c r="B170" s="13" t="s">
        <v>15</v>
      </c>
      <c r="C170" s="117">
        <f>134*1.0101</f>
        <v>135.35339999999999</v>
      </c>
      <c r="D170" s="210">
        <v>283.5</v>
      </c>
      <c r="E170" s="161">
        <f>131/99.8*103.1</f>
        <v>135.33166332665331</v>
      </c>
      <c r="F170" s="155">
        <f>98.9*(108.8/103.3)</f>
        <v>104.16573088092933</v>
      </c>
      <c r="G170" s="118">
        <v>0.63</v>
      </c>
      <c r="H170" s="136">
        <f t="shared" si="28"/>
        <v>128.35186662497551</v>
      </c>
    </row>
    <row r="171" spans="1:17" ht="15" hidden="1" x14ac:dyDescent="0.2">
      <c r="A171" s="17">
        <f t="shared" si="27"/>
        <v>2018</v>
      </c>
      <c r="B171" s="142" t="s">
        <v>16</v>
      </c>
      <c r="C171" s="114">
        <f>135.2*1.0101</f>
        <v>136.56551999999999</v>
      </c>
      <c r="D171" s="171">
        <v>283.8</v>
      </c>
      <c r="E171" s="169">
        <f>131/99.8*102.7</f>
        <v>134.80661322645292</v>
      </c>
      <c r="F171" s="153">
        <f>98.9*(108.7/103.3)</f>
        <v>104.0699903194579</v>
      </c>
      <c r="G171" s="116">
        <v>0.69</v>
      </c>
      <c r="H171" s="55">
        <f t="shared" si="28"/>
        <v>129.08749106387779</v>
      </c>
    </row>
    <row r="172" spans="1:17" ht="15" hidden="1" x14ac:dyDescent="0.2">
      <c r="A172" s="10">
        <f t="shared" si="27"/>
        <v>2018</v>
      </c>
      <c r="B172" t="s">
        <v>17</v>
      </c>
      <c r="C172" s="114">
        <f>135.2*1.0101</f>
        <v>136.56551999999999</v>
      </c>
      <c r="D172" s="201">
        <v>287.2</v>
      </c>
      <c r="E172" s="169">
        <f>131/99.8*102.4</f>
        <v>134.41282565130263</v>
      </c>
      <c r="F172" s="153">
        <f>98.9*(109.4/103.3)</f>
        <v>104.74017424975801</v>
      </c>
      <c r="G172" s="116">
        <v>0.57999999999999996</v>
      </c>
      <c r="H172" s="55">
        <f t="shared" si="28"/>
        <v>129.38873083388705</v>
      </c>
    </row>
    <row r="173" spans="1:17" ht="15.75" hidden="1" thickBot="1" x14ac:dyDescent="0.25">
      <c r="A173" s="30">
        <f t="shared" si="27"/>
        <v>2018</v>
      </c>
      <c r="B173" s="31" t="s">
        <v>18</v>
      </c>
      <c r="C173" s="119">
        <f>135.2*1.0101</f>
        <v>136.56551999999999</v>
      </c>
      <c r="D173" s="209">
        <v>291.83</v>
      </c>
      <c r="E173" s="170">
        <f>131/99.8*102.7</f>
        <v>134.80661322645292</v>
      </c>
      <c r="F173" s="154">
        <f>98.9*(109.9/103.3)</f>
        <v>105.21887705711521</v>
      </c>
      <c r="G173" s="120">
        <v>0.62</v>
      </c>
      <c r="H173" s="101">
        <f t="shared" si="28"/>
        <v>130.06188108751115</v>
      </c>
    </row>
    <row r="174" spans="1:17" ht="15" hidden="1" x14ac:dyDescent="0.2">
      <c r="A174" s="2">
        <v>2019</v>
      </c>
      <c r="B174" s="142" t="s">
        <v>8</v>
      </c>
      <c r="C174" s="114">
        <f>135.8*1.0101</f>
        <v>137.17158000000001</v>
      </c>
      <c r="D174" s="201">
        <v>291.39999999999998</v>
      </c>
      <c r="E174" s="169">
        <f>131/99.8*102.4</f>
        <v>134.41282565130263</v>
      </c>
      <c r="F174" s="153">
        <f>98.9*(109.9/103.3)</f>
        <v>105.21887705711521</v>
      </c>
      <c r="G174" s="116">
        <v>0.63</v>
      </c>
      <c r="H174" s="55">
        <f t="shared" si="28"/>
        <v>130.33083367679788</v>
      </c>
    </row>
    <row r="175" spans="1:17" ht="15" hidden="1" x14ac:dyDescent="0.2">
      <c r="A175" s="10">
        <f>A174</f>
        <v>2019</v>
      </c>
      <c r="B175" t="s">
        <v>9</v>
      </c>
      <c r="C175" s="114">
        <f>135.8*1.0101</f>
        <v>137.17158000000001</v>
      </c>
      <c r="D175" s="171">
        <v>279.39999999999998</v>
      </c>
      <c r="E175" s="169">
        <f>131/99.8*102.1</f>
        <v>134.0190380761523</v>
      </c>
      <c r="F175" s="153">
        <f>98.9*(109.7/103.3)</f>
        <v>105.02739593417233</v>
      </c>
      <c r="G175" s="116">
        <f t="shared" ref="G175" si="29">+G174</f>
        <v>0.63</v>
      </c>
      <c r="H175" s="55">
        <f>(100+((C175-$C$163)/$C$163*100*$C$160)+((D175-$D$163)/$D$163*100*$D$160)+((E175-$E$163)/$E$163*100*$E$160)+((F175-$F$163)/$F$163*100*$F$160)+((G175-$G$163)/$G$163*100*$G$160))*$H$163/100</f>
        <v>128.85723892548819</v>
      </c>
    </row>
    <row r="176" spans="1:17" ht="15" hidden="1" x14ac:dyDescent="0.2">
      <c r="A176" s="12">
        <f t="shared" ref="A176:A185" si="30">A175</f>
        <v>2019</v>
      </c>
      <c r="B176" s="13" t="s">
        <v>10</v>
      </c>
      <c r="C176" s="117">
        <f>135.8*1.0101</f>
        <v>137.17158000000001</v>
      </c>
      <c r="D176" s="210">
        <v>275.10000000000002</v>
      </c>
      <c r="E176" s="161">
        <f>131/99.8*102.3</f>
        <v>134.28156312625251</v>
      </c>
      <c r="F176" s="155">
        <f>$F$175*(103.3/103.6)</f>
        <v>104.72326254826257</v>
      </c>
      <c r="G176" s="118">
        <v>0.68</v>
      </c>
      <c r="H176" s="136">
        <f t="shared" si="28"/>
        <v>128.39822129835932</v>
      </c>
    </row>
    <row r="177" spans="1:12" ht="15" hidden="1" x14ac:dyDescent="0.2">
      <c r="A177" s="17">
        <f t="shared" si="30"/>
        <v>2019</v>
      </c>
      <c r="B177" s="142" t="s">
        <v>11</v>
      </c>
      <c r="C177" s="114">
        <f>136.4*1.0101</f>
        <v>137.77764000000002</v>
      </c>
      <c r="D177" s="171">
        <v>284.7</v>
      </c>
      <c r="E177" s="169">
        <f>131/99.8*102.8</f>
        <v>134.93787575150301</v>
      </c>
      <c r="F177" s="153">
        <f>$F$175*(103.6/103.6)</f>
        <v>105.02739593417233</v>
      </c>
      <c r="G177" s="116">
        <v>0.55000000000000004</v>
      </c>
      <c r="H177" s="55">
        <f t="shared" si="28"/>
        <v>129.78604459101641</v>
      </c>
    </row>
    <row r="178" spans="1:12" ht="15" hidden="1" x14ac:dyDescent="0.2">
      <c r="A178" s="10">
        <f t="shared" si="30"/>
        <v>2019</v>
      </c>
      <c r="B178" t="s">
        <v>12</v>
      </c>
      <c r="C178" s="114">
        <f>136.4*1.0101</f>
        <v>137.77764000000002</v>
      </c>
      <c r="D178" s="201">
        <v>283</v>
      </c>
      <c r="E178" s="169">
        <f>131/99.8*102.9</f>
        <v>135.06913827655313</v>
      </c>
      <c r="F178" s="153">
        <f>$F$175*(103.7/103.6)</f>
        <v>105.12877372947561</v>
      </c>
      <c r="G178" s="116">
        <v>0.55000000000000004</v>
      </c>
      <c r="H178" s="55">
        <f t="shared" si="28"/>
        <v>129.60215191534192</v>
      </c>
    </row>
    <row r="179" spans="1:12" ht="15.75" hidden="1" thickBot="1" x14ac:dyDescent="0.25">
      <c r="A179" s="30">
        <f t="shared" si="30"/>
        <v>2019</v>
      </c>
      <c r="B179" s="31" t="s">
        <v>13</v>
      </c>
      <c r="C179" s="119">
        <f>136.4*1.0101</f>
        <v>137.77764000000002</v>
      </c>
      <c r="D179" s="209">
        <v>286.39999999999998</v>
      </c>
      <c r="E179" s="170">
        <f>131/99.8*103.2</f>
        <v>135.46292585170343</v>
      </c>
      <c r="F179" s="154">
        <f>$F$175*(104.5/103.6)</f>
        <v>105.93979609190164</v>
      </c>
      <c r="G179" s="120">
        <v>0.59</v>
      </c>
      <c r="H179" s="101">
        <f t="shared" si="28"/>
        <v>130.15967561602997</v>
      </c>
      <c r="L179" s="206"/>
    </row>
    <row r="180" spans="1:12" ht="15" hidden="1" x14ac:dyDescent="0.2">
      <c r="A180" s="10">
        <f t="shared" si="30"/>
        <v>2019</v>
      </c>
      <c r="B180" t="s">
        <v>30</v>
      </c>
      <c r="C180" s="114">
        <f>136.6*1.0101</f>
        <v>137.97966</v>
      </c>
      <c r="D180" s="201">
        <v>293</v>
      </c>
      <c r="E180" s="169">
        <f>131/99.8*103.1</f>
        <v>135.33166332665331</v>
      </c>
      <c r="F180" s="153">
        <f>$F$175*(104.6/103.6)</f>
        <v>106.04117388720489</v>
      </c>
      <c r="G180" s="116">
        <v>0.56999999999999995</v>
      </c>
      <c r="H180" s="55">
        <f t="shared" si="28"/>
        <v>131.03215065216111</v>
      </c>
    </row>
    <row r="181" spans="1:12" ht="15" hidden="1" x14ac:dyDescent="0.2">
      <c r="A181" s="10">
        <f t="shared" si="30"/>
        <v>2019</v>
      </c>
      <c r="B181" t="s">
        <v>14</v>
      </c>
      <c r="C181" s="114">
        <f>136.6*1.0101</f>
        <v>137.97966</v>
      </c>
      <c r="D181" s="171">
        <v>274.2</v>
      </c>
      <c r="E181" s="169">
        <f>131/99.8*102.9</f>
        <v>135.06913827655313</v>
      </c>
      <c r="F181" s="153">
        <f>$F$175*(105/103.6)</f>
        <v>106.44668506841791</v>
      </c>
      <c r="G181" s="116">
        <v>0.39</v>
      </c>
      <c r="H181" s="55">
        <f t="shared" si="28"/>
        <v>128.58704276679097</v>
      </c>
    </row>
    <row r="182" spans="1:12" ht="15" hidden="1" x14ac:dyDescent="0.2">
      <c r="A182" s="12">
        <f t="shared" si="30"/>
        <v>2019</v>
      </c>
      <c r="B182" s="13" t="s">
        <v>15</v>
      </c>
      <c r="C182" s="117">
        <f>136.6*1.0101</f>
        <v>137.97966</v>
      </c>
      <c r="D182" s="210">
        <v>279.8</v>
      </c>
      <c r="E182" s="161">
        <f>131/99.8*103.5</f>
        <v>135.85671342685373</v>
      </c>
      <c r="F182" s="155">
        <f>$F$175*(104.4/103.6)</f>
        <v>105.83841829659839</v>
      </c>
      <c r="G182" s="118">
        <v>0.3</v>
      </c>
      <c r="H182" s="136">
        <f t="shared" si="28"/>
        <v>129.13867354557129</v>
      </c>
    </row>
    <row r="183" spans="1:12" ht="15" hidden="1" x14ac:dyDescent="0.2">
      <c r="A183" s="17">
        <f t="shared" si="30"/>
        <v>2019</v>
      </c>
      <c r="B183" s="142" t="s">
        <v>16</v>
      </c>
      <c r="C183" s="114">
        <f>137.8*1.0101</f>
        <v>139.19178000000002</v>
      </c>
      <c r="D183" s="171">
        <v>278.5</v>
      </c>
      <c r="E183" s="169">
        <f>131/99.8*103.1</f>
        <v>135.33166332665331</v>
      </c>
      <c r="F183" s="153">
        <f>$F$175*(104.1/103.6)</f>
        <v>105.5342849106886</v>
      </c>
      <c r="G183" s="116">
        <v>0.21</v>
      </c>
      <c r="H183" s="55">
        <f t="shared" si="28"/>
        <v>129.47582704490443</v>
      </c>
    </row>
    <row r="184" spans="1:12" ht="15" hidden="1" x14ac:dyDescent="0.2">
      <c r="A184" s="10">
        <f t="shared" si="30"/>
        <v>2019</v>
      </c>
      <c r="B184" t="s">
        <v>17</v>
      </c>
      <c r="C184" s="114">
        <f>137.8*1.0101</f>
        <v>139.19178000000002</v>
      </c>
      <c r="D184" s="201">
        <v>280.39999999999998</v>
      </c>
      <c r="E184" s="169">
        <f>131/99.8*102.9</f>
        <v>135.06913827655313</v>
      </c>
      <c r="F184" s="153">
        <f>$F$175*(103.9/103.6)</f>
        <v>105.3315293200821</v>
      </c>
      <c r="G184" s="116">
        <v>0.26</v>
      </c>
      <c r="H184" s="55">
        <f t="shared" si="28"/>
        <v>129.72793404944304</v>
      </c>
    </row>
    <row r="185" spans="1:12" ht="15.75" hidden="1" thickBot="1" x14ac:dyDescent="0.25">
      <c r="A185" s="30">
        <f t="shared" si="30"/>
        <v>2019</v>
      </c>
      <c r="B185" s="31" t="s">
        <v>18</v>
      </c>
      <c r="C185" s="119">
        <f>137.8*1.0101</f>
        <v>139.19178000000002</v>
      </c>
      <c r="D185" s="209">
        <v>283.89999999999998</v>
      </c>
      <c r="E185" s="170">
        <f>131/99.8*103.3</f>
        <v>135.59418837675352</v>
      </c>
      <c r="F185" s="154">
        <f>$F$175*(103.7/103.6)</f>
        <v>105.12877372947561</v>
      </c>
      <c r="G185" s="120">
        <v>0.34</v>
      </c>
      <c r="H185" s="101">
        <f t="shared" si="28"/>
        <v>130.26280375327551</v>
      </c>
    </row>
    <row r="186" spans="1:12" ht="15.75" hidden="1" customHeight="1" x14ac:dyDescent="0.2">
      <c r="A186" s="2">
        <v>2020</v>
      </c>
      <c r="B186" s="142" t="s">
        <v>8</v>
      </c>
      <c r="C186" s="114">
        <f>138.6*1.0101</f>
        <v>139.99985999999998</v>
      </c>
      <c r="D186" s="201">
        <v>279.2</v>
      </c>
      <c r="E186" s="169">
        <f>131/99.8*103.1</f>
        <v>135.33166332665331</v>
      </c>
      <c r="F186" s="153">
        <f>$F$175*(103.9/103.6)</f>
        <v>105.3315293200821</v>
      </c>
      <c r="G186" s="116">
        <v>0.23</v>
      </c>
      <c r="H186" s="55">
        <f>(100+((C186-$C$163)/$C$163*100*$C$160)+((D186-$D$163)/$D$163*100*$D$160)+((E186-$E$163)/$E$163*100*$E$160)+((F186-$F$163)/$F$163*100*$F$160)+((G186-$G$163)/$G$163*100*$G$160))*$H$163/100</f>
        <v>130.01197764945698</v>
      </c>
    </row>
    <row r="187" spans="1:12" ht="15.75" hidden="1" customHeight="1" x14ac:dyDescent="0.2">
      <c r="A187" s="10">
        <f>A186</f>
        <v>2020</v>
      </c>
      <c r="B187" t="s">
        <v>9</v>
      </c>
      <c r="C187" s="114">
        <f>138.6*1.0101</f>
        <v>139.99985999999998</v>
      </c>
      <c r="D187" s="171">
        <v>280.10000000000002</v>
      </c>
      <c r="E187" s="169">
        <f>131/99.8*102.9</f>
        <v>135.06913827655313</v>
      </c>
      <c r="F187" s="153">
        <f>$F$175*(104/103.6)</f>
        <v>105.43290711538535</v>
      </c>
      <c r="G187" s="116">
        <v>0.36</v>
      </c>
      <c r="H187" s="55">
        <f>(100+((C187-$C$163)/$C$163*100*$C$160)+((D187-$D$163)/$D$163*100*$D$160)+((E187-$E$163)/$E$163*100*$E$160)+((F187-$F$163)/$F$163*100*$F$160)+((G187-$G$163)/$G$163*100*$G$160))*$H$163/100</f>
        <v>130.27385546600439</v>
      </c>
    </row>
    <row r="188" spans="1:12" ht="15" hidden="1" x14ac:dyDescent="0.2">
      <c r="A188" s="12">
        <f t="shared" ref="A188:A197" si="31">A187</f>
        <v>2020</v>
      </c>
      <c r="B188" s="13" t="s">
        <v>10</v>
      </c>
      <c r="C188" s="117">
        <f>138.6*1.0101</f>
        <v>139.99985999999998</v>
      </c>
      <c r="D188" s="210">
        <v>299.10000000000002</v>
      </c>
      <c r="E188" s="161">
        <f>131/99.8*103</f>
        <v>135.20040080160322</v>
      </c>
      <c r="F188" s="155">
        <f>$F$175*(104.9/103.6)</f>
        <v>106.34530727311467</v>
      </c>
      <c r="G188" s="118">
        <v>0.28999999999999998</v>
      </c>
      <c r="H188" s="136">
        <f t="shared" ref="H188:H197" si="32">(100+((C188-$C$163)/$C$163*100*$C$160)+((D188-$D$163)/$D$163*100*$D$160)+((E188-$E$163)/$E$163*100*$E$160)+((F188-$F$163)/$F$163*100*$F$160)+((G188-$G$163)/$G$163*100*$G$160))*$H$163/100</f>
        <v>132.54137019078698</v>
      </c>
    </row>
    <row r="189" spans="1:12" ht="15" hidden="1" x14ac:dyDescent="0.2">
      <c r="A189" s="17">
        <f t="shared" si="31"/>
        <v>2020</v>
      </c>
      <c r="B189" s="142" t="s">
        <v>11</v>
      </c>
      <c r="C189" s="114">
        <f>139.2*1.0101</f>
        <v>140.60592</v>
      </c>
      <c r="D189" s="171">
        <v>284.5</v>
      </c>
      <c r="E189" s="169">
        <f>131/99.8*103.6</f>
        <v>135.98797595190382</v>
      </c>
      <c r="F189" s="153">
        <f>$F$175*(105/103.6)</f>
        <v>106.44668506841791</v>
      </c>
      <c r="G189" s="116">
        <v>0.1</v>
      </c>
      <c r="H189" s="55">
        <f t="shared" si="32"/>
        <v>130.96306818084611</v>
      </c>
    </row>
    <row r="190" spans="1:12" ht="15" hidden="1" x14ac:dyDescent="0.2">
      <c r="A190" s="10">
        <f t="shared" si="31"/>
        <v>2020</v>
      </c>
      <c r="B190" t="s">
        <v>12</v>
      </c>
      <c r="C190" s="114">
        <f>139.2*1.0101</f>
        <v>140.60592</v>
      </c>
      <c r="D190" s="201">
        <v>271.39999999999998</v>
      </c>
      <c r="E190" s="169">
        <f>131/99.8*103.3</f>
        <v>135.59418837675352</v>
      </c>
      <c r="F190" s="153">
        <f>$F$175*(105.2/103.6)</f>
        <v>106.64944065902444</v>
      </c>
      <c r="G190" s="116">
        <v>0.45</v>
      </c>
      <c r="H190" s="55">
        <f t="shared" si="32"/>
        <v>129.83531361392804</v>
      </c>
    </row>
    <row r="191" spans="1:12" ht="15.75" hidden="1" thickBot="1" x14ac:dyDescent="0.25">
      <c r="A191" s="30">
        <f t="shared" si="31"/>
        <v>2020</v>
      </c>
      <c r="B191" s="31" t="s">
        <v>13</v>
      </c>
      <c r="C191" s="119">
        <f>139.2*1.0101</f>
        <v>140.60592</v>
      </c>
      <c r="D191" s="209">
        <v>248.4</v>
      </c>
      <c r="E191" s="170">
        <f>131/99.8*103.2</f>
        <v>135.46292585170343</v>
      </c>
      <c r="F191" s="154">
        <f>$F$175*(105.2/103.6)</f>
        <v>106.64944065902444</v>
      </c>
      <c r="G191" s="120">
        <v>0.35</v>
      </c>
      <c r="H191" s="101">
        <f t="shared" si="32"/>
        <v>126.96234043568393</v>
      </c>
    </row>
    <row r="192" spans="1:12" ht="15" hidden="1" x14ac:dyDescent="0.2">
      <c r="A192" s="10">
        <f t="shared" si="31"/>
        <v>2020</v>
      </c>
      <c r="B192" t="s">
        <v>30</v>
      </c>
      <c r="C192" s="114">
        <f>139.8*1.0101</f>
        <v>141.21198000000001</v>
      </c>
      <c r="D192" s="201">
        <v>240.3</v>
      </c>
      <c r="E192" s="169">
        <f>131/99.8*103.1</f>
        <v>135.33166332665331</v>
      </c>
      <c r="F192" s="153">
        <f>$F$175*(105.3/103.6)</f>
        <v>106.75081845432769</v>
      </c>
      <c r="G192" s="116">
        <v>0.23</v>
      </c>
      <c r="H192" s="55">
        <f t="shared" si="32"/>
        <v>126.18225582763007</v>
      </c>
    </row>
    <row r="193" spans="1:8" ht="15" hidden="1" x14ac:dyDescent="0.2">
      <c r="A193" s="10">
        <f t="shared" si="31"/>
        <v>2020</v>
      </c>
      <c r="B193" t="s">
        <v>14</v>
      </c>
      <c r="C193" s="114">
        <f>139.8*1.0101</f>
        <v>141.21198000000001</v>
      </c>
      <c r="D193" s="171">
        <v>251.28</v>
      </c>
      <c r="E193" s="169">
        <f>131/99.8*103.2</f>
        <v>135.46292585170343</v>
      </c>
      <c r="F193" s="153">
        <f>$F$175*(105.5/103.6)</f>
        <v>106.95357404493419</v>
      </c>
      <c r="G193" s="116">
        <v>0.22</v>
      </c>
      <c r="H193" s="55">
        <f t="shared" si="32"/>
        <v>127.50470484520677</v>
      </c>
    </row>
    <row r="194" spans="1:8" ht="15" hidden="1" x14ac:dyDescent="0.2">
      <c r="A194" s="12">
        <f t="shared" si="31"/>
        <v>2020</v>
      </c>
      <c r="B194" s="13" t="s">
        <v>15</v>
      </c>
      <c r="C194" s="117">
        <f>139.8*1.0101</f>
        <v>141.21198000000001</v>
      </c>
      <c r="D194" s="210">
        <v>261.19</v>
      </c>
      <c r="E194" s="161">
        <f>131/99.8*104</f>
        <v>136.51302605210421</v>
      </c>
      <c r="F194" s="155">
        <f>+F$175*(105.7/103.6)</f>
        <v>107.1563296355407</v>
      </c>
      <c r="G194" s="118">
        <v>0.17</v>
      </c>
      <c r="H194" s="136">
        <f t="shared" si="32"/>
        <v>128.71310088138165</v>
      </c>
    </row>
    <row r="195" spans="1:8" ht="15" hidden="1" x14ac:dyDescent="0.2">
      <c r="A195" s="10">
        <f t="shared" si="31"/>
        <v>2020</v>
      </c>
      <c r="B195" t="s">
        <v>16</v>
      </c>
      <c r="C195" s="114">
        <f>140.2*1.0101</f>
        <v>141.61601999999999</v>
      </c>
      <c r="D195" s="171">
        <v>261.33</v>
      </c>
      <c r="E195" s="169">
        <f>131/99.8*103.6</f>
        <v>135.98797595190382</v>
      </c>
      <c r="F195" s="153">
        <f>+F$175*(106/103.6)</f>
        <v>107.46046302145045</v>
      </c>
      <c r="G195" s="116">
        <v>0.22</v>
      </c>
      <c r="H195" s="55">
        <f t="shared" si="32"/>
        <v>129.00770954287776</v>
      </c>
    </row>
    <row r="196" spans="1:8" ht="15" hidden="1" x14ac:dyDescent="0.2">
      <c r="A196" s="10">
        <f t="shared" si="31"/>
        <v>2020</v>
      </c>
      <c r="B196" t="s">
        <v>17</v>
      </c>
      <c r="C196" s="114">
        <f>140.2*1.0101</f>
        <v>141.61601999999999</v>
      </c>
      <c r="D196" s="201">
        <f t="shared" ref="D196:D259" si="33">D195</f>
        <v>261.33</v>
      </c>
      <c r="E196" s="169">
        <f>131/99.8*103.5</f>
        <v>135.85671342685373</v>
      </c>
      <c r="F196" s="153">
        <f>+F$175*(105.9/103.6)</f>
        <v>107.3590852261472</v>
      </c>
      <c r="G196" s="116">
        <v>0.15</v>
      </c>
      <c r="H196" s="55">
        <f t="shared" si="32"/>
        <v>128.90117095170592</v>
      </c>
    </row>
    <row r="197" spans="1:8" ht="15.75" hidden="1" thickBot="1" x14ac:dyDescent="0.25">
      <c r="A197" s="30">
        <f t="shared" si="31"/>
        <v>2020</v>
      </c>
      <c r="B197" s="31" t="s">
        <v>18</v>
      </c>
      <c r="C197" s="119">
        <f>140.2*1.0101</f>
        <v>141.61601999999999</v>
      </c>
      <c r="D197" s="209">
        <v>257.3</v>
      </c>
      <c r="E197" s="170">
        <f>131/99.8*103.7</f>
        <v>136.11923847695391</v>
      </c>
      <c r="F197" s="154">
        <f>+F$175*(105.7/103.6)</f>
        <v>107.1563296355407</v>
      </c>
      <c r="G197" s="120">
        <v>0.08</v>
      </c>
      <c r="H197" s="101">
        <f t="shared" si="32"/>
        <v>128.3327492855731</v>
      </c>
    </row>
    <row r="198" spans="1:8" ht="15" hidden="1" x14ac:dyDescent="0.2">
      <c r="A198" s="2">
        <v>2021</v>
      </c>
      <c r="B198" s="142" t="s">
        <v>8</v>
      </c>
      <c r="C198" s="114">
        <f>141*1.0101</f>
        <v>142.42410000000001</v>
      </c>
      <c r="D198" s="201">
        <v>259.39999999999998</v>
      </c>
      <c r="E198" s="169">
        <f>131/99.8*103.6</f>
        <v>135.98797595190382</v>
      </c>
      <c r="F198" s="153">
        <f>+F$175*(106.1/103.6)</f>
        <v>107.5618408167537</v>
      </c>
      <c r="G198" s="116">
        <v>0.15</v>
      </c>
      <c r="H198" s="55">
        <f>(100+((C198-$C$163)/$C$163*100*$C$160)+((D198-$D$163)/$D$163*100*$D$160)+((E198-$E$163)/$E$163*100*$E$160)+((F198-$F$163)/$F$163*100*$F$160)+((G198-$G$163)/$G$163*100*$G$160))*$H$163/100</f>
        <v>129.14574686240405</v>
      </c>
    </row>
    <row r="199" spans="1:8" ht="15" hidden="1" x14ac:dyDescent="0.2">
      <c r="A199" s="10">
        <f>A198</f>
        <v>2021</v>
      </c>
      <c r="B199" t="s">
        <v>9</v>
      </c>
      <c r="C199" s="114">
        <f>141*1.0101</f>
        <v>142.42410000000001</v>
      </c>
      <c r="D199" s="171">
        <v>269.8</v>
      </c>
      <c r="E199" s="169">
        <f>131/99.8*103.4</f>
        <v>135.72545090180361</v>
      </c>
      <c r="F199" s="153">
        <f>+F$175*(105.8/103.6)</f>
        <v>107.25770743084395</v>
      </c>
      <c r="G199" s="116">
        <v>-0.01</v>
      </c>
      <c r="H199" s="55">
        <f>(100+((C199-$C$163)/$C$163*100*$C$160)+((D199-$D$163)/$D$163*100*$D$160)+((E199-$E$163)/$E$163*100*$E$160)+((F199-$F$163)/$F$163*100*$F$160)+((G199-$G$163)/$G$163*100*$G$160))*$H$163/100</f>
        <v>130.13621118537159</v>
      </c>
    </row>
    <row r="200" spans="1:8" ht="15" hidden="1" x14ac:dyDescent="0.2">
      <c r="A200" s="12">
        <f t="shared" ref="A200:A209" si="34">A199</f>
        <v>2021</v>
      </c>
      <c r="B200" s="13" t="s">
        <v>10</v>
      </c>
      <c r="C200" s="117">
        <f>141*1.0101</f>
        <v>142.42410000000001</v>
      </c>
      <c r="D200" s="210">
        <f>'Beregning HVO indeks'!C70</f>
        <v>281.58141202986536</v>
      </c>
      <c r="E200" s="161">
        <f>131/99.8*103.6</f>
        <v>135.98797595190382</v>
      </c>
      <c r="F200" s="155">
        <f>+F$175*(106.9/103.6)</f>
        <v>108.37286317917976</v>
      </c>
      <c r="G200" s="118">
        <v>0.14000000000000001</v>
      </c>
      <c r="H200" s="136">
        <f t="shared" ref="H200:H209" si="35">(100+((C200-$C$163)/$C$163*100*$C$160)+((D200-$D$163)/$D$163*100*$D$160)+((E200-$E$163)/$E$163*100*$E$160)+((F200-$F$163)/$F$163*100*$F$160)+((G200-$G$163)/$G$163*100*$G$160))*$H$163/100</f>
        <v>131.84898453595838</v>
      </c>
    </row>
    <row r="201" spans="1:8" ht="15" hidden="1" x14ac:dyDescent="0.2">
      <c r="A201" s="17">
        <f t="shared" si="34"/>
        <v>2021</v>
      </c>
      <c r="B201" s="142" t="s">
        <v>11</v>
      </c>
      <c r="C201" s="114">
        <f>141.6*1.0101</f>
        <v>143.03016</v>
      </c>
      <c r="D201" s="171">
        <f>'Beregning HVO indeks'!C71</f>
        <v>296.22835944490652</v>
      </c>
      <c r="E201" s="169">
        <f>131/99.8*104.2</f>
        <v>136.77555110220442</v>
      </c>
      <c r="F201" s="153">
        <f>+F$175*(107.1/103.6)</f>
        <v>108.57561876978626</v>
      </c>
      <c r="G201" s="116">
        <v>0.33</v>
      </c>
      <c r="H201" s="55">
        <f t="shared" si="35"/>
        <v>134.23984590165236</v>
      </c>
    </row>
    <row r="202" spans="1:8" ht="15" hidden="1" x14ac:dyDescent="0.2">
      <c r="A202" s="10">
        <f t="shared" si="34"/>
        <v>2021</v>
      </c>
      <c r="B202" t="s">
        <v>12</v>
      </c>
      <c r="C202" s="114">
        <f>141.6*1.0101</f>
        <v>143.03016</v>
      </c>
      <c r="D202" s="201">
        <v>308.39999999999998</v>
      </c>
      <c r="E202" s="169">
        <f>131/99.8*104.3</f>
        <v>136.90681362725451</v>
      </c>
      <c r="F202" s="153">
        <f>+F$175*(107.7/103.6)</f>
        <v>109.1838855416058</v>
      </c>
      <c r="G202" s="116">
        <v>0.44</v>
      </c>
      <c r="H202" s="55">
        <f t="shared" si="35"/>
        <v>135.89268628661833</v>
      </c>
    </row>
    <row r="203" spans="1:8" ht="15.75" hidden="1" thickBot="1" x14ac:dyDescent="0.25">
      <c r="A203" s="30">
        <f t="shared" si="34"/>
        <v>2021</v>
      </c>
      <c r="B203" s="31" t="s">
        <v>13</v>
      </c>
      <c r="C203" s="119">
        <f>141.6*1.0101</f>
        <v>143.03016</v>
      </c>
      <c r="D203" s="209">
        <v>301.8</v>
      </c>
      <c r="E203" s="170">
        <f>131/99.8*104.7</f>
        <v>137.43186372745492</v>
      </c>
      <c r="F203" s="154">
        <f>+F$175*(108/103.6)</f>
        <v>109.48801892751557</v>
      </c>
      <c r="G203" s="120">
        <v>0.39</v>
      </c>
      <c r="H203" s="101">
        <f t="shared" si="35"/>
        <v>135.10863552588924</v>
      </c>
    </row>
    <row r="204" spans="1:8" ht="15" hidden="1" x14ac:dyDescent="0.2">
      <c r="A204" s="10">
        <f t="shared" si="34"/>
        <v>2021</v>
      </c>
      <c r="B204" t="s">
        <v>30</v>
      </c>
      <c r="C204" s="114">
        <f>142.6*1.0101</f>
        <v>144.04025999999999</v>
      </c>
      <c r="D204" s="201">
        <v>307.2</v>
      </c>
      <c r="E204" s="169">
        <f>131/99.8*104.9</f>
        <v>137.69438877755513</v>
      </c>
      <c r="F204" s="153">
        <f>+F$175*(108.2/103.6)</f>
        <v>109.69077451812207</v>
      </c>
      <c r="G204" s="116">
        <v>0.48</v>
      </c>
      <c r="H204" s="55">
        <f t="shared" si="35"/>
        <v>136.45974306767161</v>
      </c>
    </row>
    <row r="205" spans="1:8" ht="15" hidden="1" x14ac:dyDescent="0.2">
      <c r="A205" s="10">
        <f t="shared" si="34"/>
        <v>2021</v>
      </c>
      <c r="B205" t="s">
        <v>14</v>
      </c>
      <c r="C205" s="114">
        <f>142.6*1.0101</f>
        <v>144.04025999999999</v>
      </c>
      <c r="D205" s="171">
        <v>309.3</v>
      </c>
      <c r="E205" s="169">
        <f>131/99.8*105</f>
        <v>137.82565130260522</v>
      </c>
      <c r="F205" s="153">
        <f>+F$175*(108.4/103.6)</f>
        <v>109.8935301087286</v>
      </c>
      <c r="G205" s="116">
        <v>0.42</v>
      </c>
      <c r="H205" s="55">
        <f t="shared" si="35"/>
        <v>136.66215614634447</v>
      </c>
    </row>
    <row r="206" spans="1:8" ht="15.75" hidden="1" thickBot="1" x14ac:dyDescent="0.25">
      <c r="A206" s="30">
        <f t="shared" si="34"/>
        <v>2021</v>
      </c>
      <c r="B206" s="31" t="s">
        <v>15</v>
      </c>
      <c r="C206" s="119">
        <f>142.6*1.0101</f>
        <v>144.04025999999999</v>
      </c>
      <c r="D206" s="283">
        <f>'Beregning HVO indeks'!C76</f>
        <v>319.16740987747085</v>
      </c>
      <c r="E206" s="170">
        <f>131/99.8*105.7</f>
        <v>138.74448897795594</v>
      </c>
      <c r="F206" s="154">
        <f>+F$175*(108.5/103.6)</f>
        <v>109.99490790403185</v>
      </c>
      <c r="G206" s="120">
        <v>0.37</v>
      </c>
      <c r="H206" s="101">
        <f t="shared" si="35"/>
        <v>137.84699365313082</v>
      </c>
    </row>
    <row r="207" spans="1:8" ht="15" hidden="1" x14ac:dyDescent="0.2">
      <c r="A207" s="10">
        <f t="shared" si="34"/>
        <v>2021</v>
      </c>
      <c r="B207" t="s">
        <v>16</v>
      </c>
      <c r="C207" s="114">
        <f>144.1*1.0101</f>
        <v>145.55540999999999</v>
      </c>
      <c r="D207" s="171">
        <f>'Beregning HVO indeks'!C77</f>
        <v>311.79312688554529</v>
      </c>
      <c r="E207" s="169">
        <f>131/99.8*105.5</f>
        <v>138.48196392785573</v>
      </c>
      <c r="F207" s="153">
        <f>+F$175*(108.7/103.6)</f>
        <v>110.19766349463836</v>
      </c>
      <c r="G207" s="116">
        <v>0.4</v>
      </c>
      <c r="H207" s="55">
        <f t="shared" si="35"/>
        <v>137.84454756423466</v>
      </c>
    </row>
    <row r="208" spans="1:8" ht="15" hidden="1" x14ac:dyDescent="0.2">
      <c r="A208" s="10">
        <f t="shared" si="34"/>
        <v>2021</v>
      </c>
      <c r="B208" t="s">
        <v>17</v>
      </c>
      <c r="C208" s="114">
        <f>144.1*1.0101</f>
        <v>145.55540999999999</v>
      </c>
      <c r="D208" s="201">
        <f>'Beregning HVO indeks'!C78</f>
        <v>316.58785517630218</v>
      </c>
      <c r="E208" s="169">
        <f>131/99.8*105.8</f>
        <v>138.87575150300603</v>
      </c>
      <c r="F208" s="153">
        <f>+F$175*(109.3/103.6)</f>
        <v>110.80593026645788</v>
      </c>
      <c r="G208" s="116">
        <v>0.45</v>
      </c>
      <c r="H208" s="55">
        <f t="shared" si="35"/>
        <v>138.56189596334872</v>
      </c>
    </row>
    <row r="209" spans="1:12" ht="15.75" hidden="1" thickBot="1" x14ac:dyDescent="0.25">
      <c r="A209" s="30">
        <f t="shared" si="34"/>
        <v>2021</v>
      </c>
      <c r="B209" s="31" t="s">
        <v>18</v>
      </c>
      <c r="C209" s="119">
        <f>144.1*1.0101</f>
        <v>145.55540999999999</v>
      </c>
      <c r="D209" s="209">
        <f>'Beregning HVO indeks'!C79</f>
        <v>339.38944946544734</v>
      </c>
      <c r="E209" s="170">
        <f>131/99.8*106.8</f>
        <v>140.18837675350701</v>
      </c>
      <c r="F209" s="154">
        <f>+F$175*(109.8/103.6)</f>
        <v>111.31281924297416</v>
      </c>
      <c r="G209" s="120">
        <v>0.49</v>
      </c>
      <c r="H209" s="101">
        <f t="shared" si="35"/>
        <v>141.4645862060365</v>
      </c>
    </row>
    <row r="210" spans="1:12" ht="17.25" hidden="1" customHeight="1" x14ac:dyDescent="0.2">
      <c r="A210" s="2">
        <v>2022</v>
      </c>
      <c r="B210" s="142" t="s">
        <v>8</v>
      </c>
      <c r="C210" s="114">
        <f>144.9*1.0101</f>
        <v>146.36349000000001</v>
      </c>
      <c r="D210" s="201">
        <f>'Beregning HVO indeks'!C83</f>
        <v>346.3233389881658</v>
      </c>
      <c r="E210" s="169">
        <f>131/99.8*107.1</f>
        <v>140.58216432865731</v>
      </c>
      <c r="F210" s="153">
        <f>+F$175*(109.7/103.6)</f>
        <v>111.21144144767091</v>
      </c>
      <c r="G210" s="116">
        <v>0.42</v>
      </c>
      <c r="H210" s="55">
        <f t="shared" ref="H210" si="36">(100+((C210-$C$163)/$C$163*100*$C$160)+((D210-$D$163)/$D$163*100*$D$160)+((E210-$E$163)/$E$163*100*$E$160)+((F210-$F$163)/$F$163*100*$F$160)+((G210-$G$163)/$G$163*100*$G$160))*$H$163/100</f>
        <v>142.66633079846494</v>
      </c>
    </row>
    <row r="211" spans="1:12" ht="17.25" hidden="1" customHeight="1" x14ac:dyDescent="0.2">
      <c r="A211" s="10">
        <f>A210</f>
        <v>2022</v>
      </c>
      <c r="B211" s="142" t="s">
        <v>9</v>
      </c>
      <c r="C211" s="114">
        <f t="shared" ref="C211:C212" si="37">144.9*1.0101</f>
        <v>146.36349000000001</v>
      </c>
      <c r="D211" s="171">
        <f>'Beregning HVO indeks'!C84</f>
        <v>345.07052521821981</v>
      </c>
      <c r="E211" s="169">
        <f>131/99.8*106.6</f>
        <v>139.92585170340681</v>
      </c>
      <c r="F211" s="153">
        <f>+F$175*(110.3/103.6)</f>
        <v>111.81970821949042</v>
      </c>
      <c r="G211" s="116">
        <v>0.54</v>
      </c>
      <c r="H211" s="55">
        <f>(100+((C211-$C$163)/$C$163*100*$C$160)+((D211-$D$163)/$D$163*100*$D$160)+((E211-$E$163)/$E$163*100*$E$160)+((F211-$F$163)/$F$163*100*$F$160)+((G211-$G$163)/$G$163*100*$G$160))*$H$163/100</f>
        <v>142.67904981561259</v>
      </c>
      <c r="L211" s="142"/>
    </row>
    <row r="212" spans="1:12" ht="17.25" hidden="1" customHeight="1" x14ac:dyDescent="0.2">
      <c r="A212" s="12">
        <f t="shared" ref="A212:A221" si="38">A211</f>
        <v>2022</v>
      </c>
      <c r="B212" s="13" t="s">
        <v>10</v>
      </c>
      <c r="C212" s="117">
        <f t="shared" si="37"/>
        <v>146.36349000000001</v>
      </c>
      <c r="D212" s="210">
        <f>+'Beregning HVO indeks'!C85</f>
        <v>413.01484112624797</v>
      </c>
      <c r="E212" s="161">
        <f>131/99.8*108.1</f>
        <v>141.89478957915833</v>
      </c>
      <c r="F212" s="155">
        <f>+F$175*(113.2/103.6)</f>
        <v>114.75966428328483</v>
      </c>
      <c r="G212" s="118">
        <v>0.7</v>
      </c>
      <c r="H212" s="136">
        <f>(100+((C212-$C$163)/$C$163*100*$C$160)+((D212-$D$163)/$D$163*100*$D$160)+((E212-$E$163)/$E$163*100*$E$160)+((F212-$F$163)/$F$163*100*$F$160)+((G212-$G$163)/$G$163*100*$G$160))*$H$163/100</f>
        <v>151.37779186562898</v>
      </c>
    </row>
    <row r="213" spans="1:12" ht="17.25" hidden="1" customHeight="1" x14ac:dyDescent="0.2">
      <c r="A213" s="17">
        <f t="shared" si="38"/>
        <v>2022</v>
      </c>
      <c r="B213" s="18" t="s">
        <v>11</v>
      </c>
      <c r="C213" s="114">
        <f>145.2*1.0101</f>
        <v>146.66651999999999</v>
      </c>
      <c r="D213" s="171">
        <f>+'Beregning HVO indeks'!C86</f>
        <v>433.99992356538559</v>
      </c>
      <c r="E213" s="169">
        <f>131/99.8*109.2</f>
        <v>143.33867735470943</v>
      </c>
      <c r="F213" s="153">
        <f>+F$175*(113.6/103.6)</f>
        <v>115.16517546449785</v>
      </c>
      <c r="G213" s="116">
        <v>1.04</v>
      </c>
      <c r="H213" s="55">
        <f>(100+((C213-$C$163)/$C$163*100*$C$160)+((D213-$D$163)/$D$163*100*$D$160)+((E213-$E$163)/$E$163*100*$E$160)+((F213-$F$163)/$F$163*100*$F$160)+((G213-$G$163)/$G$163*100*$G$160))*$H$163/100</f>
        <v>154.60870435421765</v>
      </c>
    </row>
    <row r="214" spans="1:12" ht="17.25" hidden="1" customHeight="1" x14ac:dyDescent="0.2">
      <c r="A214" s="10">
        <f t="shared" si="38"/>
        <v>2022</v>
      </c>
      <c r="B214" t="s">
        <v>12</v>
      </c>
      <c r="C214" s="114">
        <f>145.2*1.0101</f>
        <v>146.66651999999999</v>
      </c>
      <c r="D214" s="201">
        <f>+'Beregning HVO indeks'!C87</f>
        <v>486.25194142398379</v>
      </c>
      <c r="E214" s="169">
        <f>131/99.8*109.9</f>
        <v>144.25751503006015</v>
      </c>
      <c r="F214" s="153">
        <f>+F$175*(113.8/103.6)</f>
        <v>115.36793105510438</v>
      </c>
      <c r="G214" s="116">
        <v>1.24</v>
      </c>
      <c r="H214" s="55">
        <f>(100+((C214-$C$163)/$C$163*100*$C$160)+((D214-$D$163)/$D$163*100*$D$160)+((E214-$E$163)/$E$163*100*$E$160)+((F214-$F$163)/$F$163*100*$F$160)+((G214-$G$163)/$G$163*100*$G$160))*$H$163/100</f>
        <v>161.16319043430852</v>
      </c>
    </row>
    <row r="215" spans="1:12" ht="17.25" hidden="1" customHeight="1" thickBot="1" x14ac:dyDescent="0.25">
      <c r="A215" s="30">
        <f t="shared" si="38"/>
        <v>2022</v>
      </c>
      <c r="B215" s="31" t="s">
        <v>13</v>
      </c>
      <c r="C215" s="119">
        <f>145.2*1.0101</f>
        <v>146.66651999999999</v>
      </c>
      <c r="D215" s="209">
        <f>+'Beregning HVO indeks'!C88</f>
        <v>483.67683514169613</v>
      </c>
      <c r="E215" s="170">
        <f>131/99.8*111.7</f>
        <v>146.62024048096194</v>
      </c>
      <c r="F215" s="154">
        <f>+F$175*(115.9/103.6)</f>
        <v>117.49686475647272</v>
      </c>
      <c r="G215" s="120">
        <v>1.58</v>
      </c>
      <c r="H215" s="101">
        <f t="shared" ref="H215" si="39">(100+((C215-$C$163)/$C$163*100*$C$160)+((D215-$D$163)/$D$163*100*$D$160)+((E215-$E$163)/$E$163*100*$E$160)+((F215-$F$163)/$F$163*100*$F$160)+((G215-$G$163)/$G$163*100*$G$160))*$H$163/100</f>
        <v>161.64528159953738</v>
      </c>
    </row>
    <row r="216" spans="1:12" ht="17.25" hidden="1" customHeight="1" x14ac:dyDescent="0.2">
      <c r="A216" s="10">
        <f t="shared" si="38"/>
        <v>2022</v>
      </c>
      <c r="B216" t="s">
        <v>30</v>
      </c>
      <c r="C216" s="114">
        <f>145.9*1.0101</f>
        <v>147.37359000000001</v>
      </c>
      <c r="D216" s="201">
        <f>+'Beregning HVO indeks'!C89</f>
        <v>500.90848074223686</v>
      </c>
      <c r="E216" s="169">
        <f>131/99.8*112.7</f>
        <v>147.93286573146295</v>
      </c>
      <c r="F216" s="153">
        <f>+F$175*(116.1/103.6)</f>
        <v>117.69962034707922</v>
      </c>
      <c r="G216" s="116">
        <v>1.84</v>
      </c>
      <c r="H216" s="55">
        <f t="shared" ref="H216" si="40">(100+((C216-$C$163)/$C$163*100*$C$160)+((D216-$D$163)/$D$163*100*$D$160)+((E216-$E$163)/$E$163*100*$E$160)+((F216-$F$163)/$F$163*100*$F$160)+((G216-$G$163)/$G$163*100*$G$160))*$H$163/100</f>
        <v>164.52406918097884</v>
      </c>
    </row>
    <row r="217" spans="1:12" ht="17.25" hidden="1" customHeight="1" x14ac:dyDescent="0.2">
      <c r="A217" s="10">
        <f t="shared" si="38"/>
        <v>2022</v>
      </c>
      <c r="B217" t="s">
        <v>14</v>
      </c>
      <c r="C217" s="114">
        <f>145.9*1.0101</f>
        <v>147.37359000000001</v>
      </c>
      <c r="D217" s="171">
        <f>+'Beregning HVO indeks'!C90</f>
        <v>521.50744042251404</v>
      </c>
      <c r="E217" s="169">
        <f>131/99.8*113.6</f>
        <v>149.11422845691382</v>
      </c>
      <c r="F217" s="153">
        <f>+F$175*(116.6/103.6)</f>
        <v>118.20650932359551</v>
      </c>
      <c r="G217" s="116">
        <v>2.0699999999999998</v>
      </c>
      <c r="H217" s="55">
        <f t="shared" ref="H217" si="41">(100+((C217-$C$163)/$C$163*100*$C$160)+((D217-$D$163)/$D$163*100*$D$160)+((E217-$E$163)/$E$163*100*$E$160)+((F217-$F$163)/$F$163*100*$F$160)+((G217-$G$163)/$G$163*100*$G$160))*$H$163/100</f>
        <v>167.39444295191396</v>
      </c>
    </row>
    <row r="218" spans="1:12" ht="17.25" hidden="1" customHeight="1" x14ac:dyDescent="0.2">
      <c r="A218" s="12">
        <f t="shared" si="38"/>
        <v>2022</v>
      </c>
      <c r="B218" s="13" t="s">
        <v>15</v>
      </c>
      <c r="C218" s="117">
        <f>145.9*1.0101</f>
        <v>147.37359000000001</v>
      </c>
      <c r="D218" s="210">
        <f>+'Beregning HVO indeks'!C91</f>
        <v>517.68474726246529</v>
      </c>
      <c r="E218" s="161">
        <f>131/99.8*114.9</f>
        <v>150.82064128256513</v>
      </c>
      <c r="F218" s="155">
        <f>+F$175*(117.7/103.6)</f>
        <v>119.32166507193132</v>
      </c>
      <c r="G218" s="118">
        <v>1.9</v>
      </c>
      <c r="H218" s="136">
        <f t="shared" ref="H218" si="42">(100+((C218-$C$163)/$C$163*100*$C$160)+((D218-$D$163)/$D$163*100*$D$160)+((E218-$E$163)/$E$163*100*$E$160)+((F218-$F$163)/$F$163*100*$F$160)+((G218-$G$163)/$G$163*100*$G$160))*$H$163/100</f>
        <v>166.94707855189776</v>
      </c>
    </row>
    <row r="219" spans="1:12" ht="18" hidden="1" customHeight="1" x14ac:dyDescent="0.2">
      <c r="A219" s="17">
        <f t="shared" si="38"/>
        <v>2022</v>
      </c>
      <c r="B219" s="18" t="s">
        <v>16</v>
      </c>
      <c r="C219" s="114">
        <f>147.2*1.0101</f>
        <v>148.68671999999998</v>
      </c>
      <c r="D219" s="171">
        <f>+'Beregning HVO indeks'!C92</f>
        <v>478.51780914721309</v>
      </c>
      <c r="E219" s="169">
        <f>131/99.8*114.9</f>
        <v>150.82064128256513</v>
      </c>
      <c r="F219" s="153">
        <f>+F$175*(118.4/103.6)</f>
        <v>120.03130963905411</v>
      </c>
      <c r="G219" s="116">
        <v>2.52</v>
      </c>
      <c r="H219" s="55">
        <f t="shared" ref="H219" si="43">(100+((C219-$C$163)/$C$163*100*$C$160)+((D219-$D$163)/$D$163*100*$D$160)+((E219-$E$163)/$E$163*100*$E$160)+((F219-$F$163)/$F$163*100*$F$160)+((G219-$G$163)/$G$163*100*$G$160))*$H$163/100</f>
        <v>163.85548372613056</v>
      </c>
    </row>
    <row r="220" spans="1:12" ht="17.25" hidden="1" customHeight="1" x14ac:dyDescent="0.2">
      <c r="A220" s="10">
        <f t="shared" si="38"/>
        <v>2022</v>
      </c>
      <c r="B220" t="s">
        <v>17</v>
      </c>
      <c r="C220" s="114">
        <f>147.2*1.0101</f>
        <v>148.68671999999998</v>
      </c>
      <c r="D220" s="201">
        <f>+'Beregning HVO indeks'!C93</f>
        <v>503.61072839666366</v>
      </c>
      <c r="E220" s="169">
        <f>131/99.8*116.4</f>
        <v>152.78957915831666</v>
      </c>
      <c r="F220" s="153">
        <f>+F$175*(118.5/103.6)</f>
        <v>120.13268743435736</v>
      </c>
      <c r="G220" s="116">
        <v>3.22</v>
      </c>
      <c r="H220" s="55">
        <f t="shared" ref="H220" si="44">(100+((C220-$C$163)/$C$163*100*$C$160)+((D220-$D$163)/$D$163*100*$D$160)+((E220-$E$163)/$E$163*100*$E$160)+((F220-$F$163)/$F$163*100*$F$160)+((G220-$G$163)/$G$163*100*$G$160))*$H$163/100</f>
        <v>167.86901231186818</v>
      </c>
    </row>
    <row r="221" spans="1:12" ht="15.75" hidden="1" thickBot="1" x14ac:dyDescent="0.25">
      <c r="A221" s="30">
        <f t="shared" si="38"/>
        <v>2022</v>
      </c>
      <c r="B221" s="31" t="s">
        <v>18</v>
      </c>
      <c r="C221" s="119">
        <f>147.2*1.0101</f>
        <v>148.68671999999998</v>
      </c>
      <c r="D221" s="209">
        <f>+'Beregning HVO indeks'!C94</f>
        <v>529.39824045174578</v>
      </c>
      <c r="E221" s="170">
        <f>131/99.8*117.6</f>
        <v>154.36472945891785</v>
      </c>
      <c r="F221" s="154">
        <f>+F$175*(120.6/103.6)</f>
        <v>122.2616211357257</v>
      </c>
      <c r="G221" s="120">
        <v>3.06</v>
      </c>
      <c r="H221" s="101">
        <f t="shared" ref="H221" si="45">(100+((C221-$C$163)/$C$163*100*$C$160)+((D221-$D$163)/$D$163*100*$D$160)+((E221-$E$163)/$E$163*100*$E$160)+((F221-$F$163)/$F$163*100*$F$160)+((G221-$G$163)/$G$163*100*$G$160))*$H$163/100</f>
        <v>171.04412418274603</v>
      </c>
    </row>
    <row r="222" spans="1:12" ht="15" x14ac:dyDescent="0.2">
      <c r="A222" s="2">
        <v>2023</v>
      </c>
      <c r="B222" s="142" t="s">
        <v>8</v>
      </c>
      <c r="C222" s="114">
        <f>148.2*1.0101</f>
        <v>149.69681999999997</v>
      </c>
      <c r="D222" s="201">
        <f>+'Beregning HVO indeks'!C98</f>
        <v>497.98242201286564</v>
      </c>
      <c r="E222" s="169">
        <f>131/99.8*116.6</f>
        <v>153.05210420841684</v>
      </c>
      <c r="F222" s="153">
        <f>+F$175*(120.9/103.6)</f>
        <v>122.56575452163548</v>
      </c>
      <c r="G222" s="116">
        <v>2.86</v>
      </c>
      <c r="H222" s="55">
        <f>(100+((C222-$C$163)/$C$163*100*$C$160)+((D222-$D$163)/$D$163*100*$D$160)+((E222-$E$163)/$E$163*100*$E$160)+((F222-$F$163)/$F$163*100*$F$160)+((G222-$G$163)/$G$163*100*$G$160))*$H$163/100</f>
        <v>167.54791150243392</v>
      </c>
    </row>
    <row r="223" spans="1:12" ht="15" x14ac:dyDescent="0.2">
      <c r="A223" s="10">
        <f t="shared" ref="A223:A233" si="46">A222</f>
        <v>2023</v>
      </c>
      <c r="B223" s="142" t="s">
        <v>9</v>
      </c>
      <c r="C223" s="114">
        <f>148.2*1.0101</f>
        <v>149.69681999999997</v>
      </c>
      <c r="D223" s="171">
        <f>+'Beregning HVO indeks'!C99</f>
        <v>457.74608399864962</v>
      </c>
      <c r="E223" s="169">
        <f>131/99.8*115.9</f>
        <v>152.13326653306615</v>
      </c>
      <c r="F223" s="153">
        <f>+F$175*(121/103.6)</f>
        <v>122.66713231693873</v>
      </c>
      <c r="G223" s="116">
        <v>3.33</v>
      </c>
      <c r="H223" s="55">
        <f>(100+((C223-$C$163)/$C$163*100*$C$160)+((D223-$D$163)/$D$163*100*$D$160)+((E223-$E$163)/$E$163*100*$E$160)+((F223-$F$163)/$F$163*100*$F$160)+((G223-$G$163)/$G$163*100*$G$160))*$H$163/100</f>
        <v>163.29482029489142</v>
      </c>
      <c r="K223" s="142"/>
    </row>
    <row r="224" spans="1:12" ht="15" x14ac:dyDescent="0.2">
      <c r="A224" s="12">
        <f t="shared" si="46"/>
        <v>2023</v>
      </c>
      <c r="B224" s="13" t="s">
        <v>10</v>
      </c>
      <c r="C224" s="117">
        <f>148.2*1.0101</f>
        <v>149.69681999999997</v>
      </c>
      <c r="D224" s="210">
        <f>+'Beregning HVO indeks'!C100</f>
        <v>471.41518553581926</v>
      </c>
      <c r="E224" s="161">
        <f>131/99.8*116.4</f>
        <v>152.78957915831666</v>
      </c>
      <c r="F224" s="155">
        <f>+F$175*(122.7/103.6)</f>
        <v>124.39055483709409</v>
      </c>
      <c r="G224" s="118">
        <v>3.26</v>
      </c>
      <c r="H224" s="136">
        <f>(100+((C224-$C$163)/$C$163*100*$C$160)+((D224-$D$163)/$D$163*100*$D$160)+((E224-$E$163)/$E$163*100*$E$160)+((F224-$F$163)/$F$163*100*$F$160)+((G224-$G$163)/$G$163*100*$G$160))*$H$163/100</f>
        <v>165.03924335743366</v>
      </c>
    </row>
    <row r="225" spans="1:12" ht="15" x14ac:dyDescent="0.2">
      <c r="A225" s="17">
        <f t="shared" si="46"/>
        <v>2023</v>
      </c>
      <c r="B225" s="18" t="s">
        <v>11</v>
      </c>
      <c r="C225" s="114">
        <f>149.4*1.0101</f>
        <v>150.90894</v>
      </c>
      <c r="D225" s="171">
        <f>+'Beregning HVO indeks'!C101</f>
        <v>440.51021240017207</v>
      </c>
      <c r="E225" s="169">
        <f>131/99.8*117.5</f>
        <v>154.23346693386776</v>
      </c>
      <c r="F225" s="153">
        <f>+F$175*(122.3/103.6)</f>
        <v>123.98504365588106</v>
      </c>
      <c r="G225" s="116">
        <v>3.58</v>
      </c>
      <c r="H225" s="55">
        <f>(100+((C225-$C$163)/$C$163*100*$C$160)+((D225-$D$163)/$D$163*100*$D$160)+((E225-$E$163)/$E$163*100*$E$160)+((F225-$F$163)/$F$163*100*$F$160)+((G225-$G$163)/$G$163*100*$G$160))*$H$163/100</f>
        <v>162.4946987127627</v>
      </c>
    </row>
    <row r="226" spans="1:12" ht="15" x14ac:dyDescent="0.2">
      <c r="A226" s="10">
        <f t="shared" si="46"/>
        <v>2023</v>
      </c>
      <c r="B226" t="s">
        <v>12</v>
      </c>
      <c r="C226" s="114">
        <f t="shared" ref="C226:C227" si="47">149.4*1.0101</f>
        <v>150.90894</v>
      </c>
      <c r="D226" s="201">
        <f>+'Beregning HVO indeks'!C102</f>
        <v>449.12168409072461</v>
      </c>
      <c r="E226" s="169">
        <f>131/99.8*117.3</f>
        <v>153.97094188376755</v>
      </c>
      <c r="F226" s="153">
        <f>+F$175*(122.9/103.6)</f>
        <v>124.59331042770057</v>
      </c>
      <c r="G226" s="116">
        <v>3.32</v>
      </c>
      <c r="H226" s="55">
        <f t="shared" ref="H226" si="48">(100+((C226-$C$163)/$C$163*100*$C$160)+((D226-$D$163)/$D$163*100*$D$160)+((E226-$E$163)/$E$163*100*$E$160)+((F226-$F$163)/$F$163*100*$F$160)+((G226-$G$163)/$G$163*100*$G$160))*$H$163/100</f>
        <v>163.23102533608559</v>
      </c>
    </row>
    <row r="227" spans="1:12" ht="15.75" thickBot="1" x14ac:dyDescent="0.25">
      <c r="A227" s="30">
        <f t="shared" si="46"/>
        <v>2023</v>
      </c>
      <c r="B227" s="31" t="s">
        <v>13</v>
      </c>
      <c r="C227" s="119">
        <f t="shared" si="47"/>
        <v>150.90894</v>
      </c>
      <c r="D227" s="209">
        <f>+'Beregning HVO indeks'!C103</f>
        <v>437.18048745997908</v>
      </c>
      <c r="E227" s="170">
        <f>131/99.8*117.6</f>
        <v>154.36472945891785</v>
      </c>
      <c r="F227" s="154">
        <f>+F$175*(123/103.6)</f>
        <v>124.69468822300382</v>
      </c>
      <c r="G227" s="120">
        <v>3.35</v>
      </c>
      <c r="H227" s="101">
        <f t="shared" ref="H227" si="49">(100+((C227-$C$163)/$C$163*100*$C$160)+((D227-$D$163)/$D$163*100*$D$160)+((E227-$E$163)/$E$163*100*$E$160)+((F227-$F$163)/$F$163*100*$F$160)+((G227-$G$163)/$G$163*100*$G$160))*$H$163/100</f>
        <v>161.88386198763266</v>
      </c>
    </row>
    <row r="228" spans="1:12" ht="15" x14ac:dyDescent="0.2">
      <c r="A228" s="17">
        <f t="shared" si="46"/>
        <v>2023</v>
      </c>
      <c r="B228" s="22" t="s">
        <v>30</v>
      </c>
      <c r="C228" s="114">
        <f>150.8*1.0101</f>
        <v>152.32308</v>
      </c>
      <c r="D228" s="201">
        <f>+'Beregning HVO indeks'!C104</f>
        <v>410.98711278725267</v>
      </c>
      <c r="E228" s="169">
        <f>131/99.8*116</f>
        <v>152.26452905811624</v>
      </c>
      <c r="F228" s="153">
        <f>+F$175*(122.7/103.6)</f>
        <v>124.39055483709409</v>
      </c>
      <c r="G228" s="116">
        <v>3.45</v>
      </c>
      <c r="H228" s="55">
        <f t="shared" ref="H228" si="50">(100+((C228-$C$163)/$C$163*100*$C$160)+((D228-$D$163)/$D$163*100*$D$160)+((E228-$E$163)/$E$163*100*$E$160)+((F228-$F$163)/$F$163*100*$F$160)+((G228-$G$163)/$G$163*100*$G$160))*$H$163/100</f>
        <v>159.4990241529556</v>
      </c>
    </row>
    <row r="229" spans="1:12" ht="15" x14ac:dyDescent="0.2">
      <c r="A229" s="10">
        <f t="shared" si="46"/>
        <v>2023</v>
      </c>
      <c r="B229" t="s">
        <v>14</v>
      </c>
      <c r="C229" s="114">
        <f t="shared" ref="C229:C230" si="51">150.8*1.0101</f>
        <v>152.32308</v>
      </c>
      <c r="D229" s="171">
        <f>+'Beregning HVO indeks'!C105</f>
        <v>430.04033031427787</v>
      </c>
      <c r="E229" s="169">
        <f>131/99.8*116.4</f>
        <v>152.78957915831666</v>
      </c>
      <c r="F229" s="153">
        <f>+F$175*(123.3/103.6)</f>
        <v>124.9988216089136</v>
      </c>
      <c r="G229" s="116">
        <v>3.69</v>
      </c>
      <c r="H229" s="55">
        <f t="shared" ref="H229" si="52">(100+((C229-$C$163)/$C$163*100*$C$160)+((D229-$D$163)/$D$163*100*$D$160)+((E229-$E$163)/$E$163*100*$E$160)+((F229-$F$163)/$F$163*100*$F$160)+((G229-$G$163)/$G$163*100*$G$160))*$H$163/100</f>
        <v>162.16189723418211</v>
      </c>
    </row>
    <row r="230" spans="1:12" ht="15" x14ac:dyDescent="0.2">
      <c r="A230" s="12">
        <f t="shared" si="46"/>
        <v>2023</v>
      </c>
      <c r="B230" s="13" t="s">
        <v>15</v>
      </c>
      <c r="C230" s="117">
        <f t="shared" si="51"/>
        <v>152.32308</v>
      </c>
      <c r="D230" s="210">
        <f>+'Beregning HVO indeks'!C106</f>
        <v>424.70628683945006</v>
      </c>
      <c r="E230" s="161">
        <f>131/99.8*118.5</f>
        <v>155.54609218436875</v>
      </c>
      <c r="F230" s="155">
        <f>+F$175*(124.6/103.6)</f>
        <v>126.31673294785591</v>
      </c>
      <c r="G230" s="118">
        <v>3.67</v>
      </c>
      <c r="H230" s="136">
        <f t="shared" ref="H230" si="53">(100+((C230-$C$163)/$C$163*100*$C$160)+((D230-$D$163)/$D$163*100*$D$160)+((E230-$E$163)/$E$163*100*$E$160)+((F230-$F$163)/$F$163*100*$F$160)+((G230-$G$163)/$G$163*100*$G$160))*$H$163/100</f>
        <v>161.8148166361016</v>
      </c>
    </row>
    <row r="231" spans="1:12" ht="15" x14ac:dyDescent="0.2">
      <c r="A231" s="17">
        <f t="shared" si="46"/>
        <v>2023</v>
      </c>
      <c r="B231" s="18" t="s">
        <v>16</v>
      </c>
      <c r="C231" s="114">
        <f>151.6*1.0101</f>
        <v>153.13115999999999</v>
      </c>
      <c r="D231" s="171">
        <f>+'Beregning HVO indeks'!C107</f>
        <v>452.81437220897953</v>
      </c>
      <c r="E231" s="169">
        <f>131/99.8*117.7</f>
        <v>154.49599198396794</v>
      </c>
      <c r="F231" s="153">
        <f>+F$175*(124.3/103.6)</f>
        <v>126.01259956194616</v>
      </c>
      <c r="G231" s="116">
        <v>3.67</v>
      </c>
      <c r="H231" s="55">
        <f t="shared" ref="H231" si="54">(100+((C231-$C$163)/$C$163*100*$C$160)+((D231-$D$163)/$D$163*100*$D$160)+((E231-$E$163)/$E$163*100*$E$160)+((F231-$F$163)/$F$163*100*$F$160)+((G231-$G$163)/$G$163*100*$G$160))*$H$163/100</f>
        <v>165.5065466007517</v>
      </c>
    </row>
    <row r="232" spans="1:12" ht="15" x14ac:dyDescent="0.2">
      <c r="A232" s="10">
        <f t="shared" si="46"/>
        <v>2023</v>
      </c>
      <c r="B232" t="s">
        <v>17</v>
      </c>
      <c r="C232" s="114">
        <f t="shared" ref="C232:C233" si="55">151.6*1.0101</f>
        <v>153.13115999999999</v>
      </c>
      <c r="D232" s="201">
        <f>+'Beregning HVO indeks'!C108</f>
        <v>463.72264597558456</v>
      </c>
      <c r="E232" s="169">
        <f>131/99.8*117.4</f>
        <v>154.10220440881764</v>
      </c>
      <c r="F232" s="153">
        <f>+F$175*(124/103.6)</f>
        <v>125.70846617603638</v>
      </c>
      <c r="G232" s="116">
        <v>3.81</v>
      </c>
      <c r="H232" s="55">
        <f t="shared" ref="H232" si="56">(100+((C232-$C$163)/$C$163*100*$C$160)+((D232-$D$163)/$D$163*100*$D$160)+((E232-$E$163)/$E$163*100*$E$160)+((F232-$F$163)/$F$163*100*$F$160)+((G232-$G$163)/$G$163*100*$G$160))*$H$163/100</f>
        <v>166.92578641939716</v>
      </c>
    </row>
    <row r="233" spans="1:12" ht="15.75" thickBot="1" x14ac:dyDescent="0.25">
      <c r="A233" s="30">
        <f t="shared" si="46"/>
        <v>2023</v>
      </c>
      <c r="B233" s="31" t="s">
        <v>18</v>
      </c>
      <c r="C233" s="119">
        <f t="shared" si="55"/>
        <v>153.13115999999999</v>
      </c>
      <c r="D233" s="209">
        <f>+'Beregning HVO indeks'!C109</f>
        <v>461.36781983575446</v>
      </c>
      <c r="E233" s="170">
        <f>131/99.8*117.7</f>
        <v>154.49599198396794</v>
      </c>
      <c r="F233" s="154">
        <f>+F$175*(123.9/103.6)</f>
        <v>125.60708838073315</v>
      </c>
      <c r="G233" s="120">
        <v>3.78</v>
      </c>
      <c r="H233" s="101">
        <f t="shared" ref="H233" si="57">(100+((C233-$C$163)/$C$163*100*$C$160)+((D233-$D$163)/$D$163*100*$D$160)+((E233-$E$163)/$E$163*100*$E$160)+((F233-$F$163)/$F$163*100*$F$160)+((G233-$G$163)/$G$163*100*$G$160))*$H$163/100</f>
        <v>166.62559295492355</v>
      </c>
    </row>
    <row r="234" spans="1:12" ht="15" x14ac:dyDescent="0.2">
      <c r="A234" s="2">
        <v>2024</v>
      </c>
      <c r="B234" s="142" t="s">
        <v>8</v>
      </c>
      <c r="C234" s="114">
        <f>153.5*1.0101</f>
        <v>155.05035000000001</v>
      </c>
      <c r="D234" s="201">
        <f>+'Beregning HVO indeks'!C113</f>
        <v>456.72931445557043</v>
      </c>
      <c r="E234" s="169">
        <f>131/99.8*117.3</f>
        <v>153.97094188376755</v>
      </c>
      <c r="F234" s="153">
        <f>+F$175*(123.5/103.6)</f>
        <v>125.20157719952012</v>
      </c>
      <c r="G234" s="116">
        <v>3.51</v>
      </c>
      <c r="H234" s="55">
        <f t="shared" ref="H234" si="58">(100+((C234-$C$163)/$C$163*100*$C$160)+((D234-$D$163)/$D$163*100*$D$160)+((E234-$E$163)/$E$163*100*$E$160)+((F234-$F$163)/$F$163*100*$F$160)+((G234-$G$163)/$G$163*100*$G$160))*$H$163/100</f>
        <v>166.72014015198874</v>
      </c>
      <c r="L234" s="296"/>
    </row>
    <row r="235" spans="1:12" ht="15" x14ac:dyDescent="0.2">
      <c r="A235" s="10">
        <f>A234</f>
        <v>2024</v>
      </c>
      <c r="B235" s="142" t="s">
        <v>9</v>
      </c>
      <c r="C235" s="114">
        <f t="shared" ref="C235:C236" si="59">153.5*1.0101</f>
        <v>155.05035000000001</v>
      </c>
      <c r="D235" s="114">
        <f>+'Beregning HVO indeks'!C114</f>
        <v>433.02505256764061</v>
      </c>
      <c r="E235" s="169">
        <f>131/99.8*116.7</f>
        <v>153.18336673346695</v>
      </c>
      <c r="F235" s="153">
        <f>+F$175*(123.3/103.6)</f>
        <v>124.9988216089136</v>
      </c>
      <c r="G235" s="116">
        <v>3.18</v>
      </c>
      <c r="H235" s="55">
        <f t="shared" ref="H235" si="60">(100+((C235-$C$163)/$C$163*100*$C$160)+((D235-$D$163)/$D$163*100*$D$160)+((E235-$E$163)/$E$163*100*$E$160)+((F235-$F$163)/$F$163*100*$F$160)+((G235-$G$163)/$G$163*100*$G$160))*$H$163/100</f>
        <v>163.40976621340656</v>
      </c>
      <c r="L235" s="296"/>
    </row>
    <row r="236" spans="1:12" ht="15" x14ac:dyDescent="0.2">
      <c r="A236" s="12">
        <f t="shared" ref="A236:A269" si="61">A235</f>
        <v>2024</v>
      </c>
      <c r="B236" s="13" t="s">
        <v>10</v>
      </c>
      <c r="C236" s="117">
        <f t="shared" si="59"/>
        <v>155.05035000000001</v>
      </c>
      <c r="D236" s="210">
        <f>+'Beregning HVO indeks'!C115</f>
        <v>346.98148256159203</v>
      </c>
      <c r="E236" s="161">
        <f>131/99.8*117.8</f>
        <v>154.62725450901803</v>
      </c>
      <c r="F236" s="155">
        <f>+F$175*(122.3/103.6)</f>
        <v>123.98504365588106</v>
      </c>
      <c r="G236" s="118">
        <v>3.23</v>
      </c>
      <c r="H236" s="136">
        <f t="shared" ref="H236" si="62">(100+((C236-$C$163)/$C$163*100*$C$160)+((D236-$D$163)/$D$163*100*$D$160)+((E236-$E$163)/$E$163*100*$E$160)+((F236-$F$163)/$F$163*100*$F$160)+((G236-$G$163)/$G$163*100*$G$160))*$H$163/100</f>
        <v>153.23542169368963</v>
      </c>
      <c r="L236" s="296"/>
    </row>
    <row r="237" spans="1:12" ht="15" x14ac:dyDescent="0.2">
      <c r="A237" s="17">
        <f t="shared" si="61"/>
        <v>2024</v>
      </c>
      <c r="B237" s="18" t="s">
        <v>11</v>
      </c>
      <c r="C237" s="114">
        <f>154.8*1.0101</f>
        <v>156.36348000000001</v>
      </c>
      <c r="D237" s="171">
        <f>+'Beregning HVO indeks'!C116</f>
        <v>356.00429398553587</v>
      </c>
      <c r="E237" s="169">
        <f>131/99.8*118.4</f>
        <v>155.41482965931866</v>
      </c>
      <c r="F237" s="153">
        <f>+F$175*(122.6/103.6)</f>
        <v>124.28917704179081</v>
      </c>
      <c r="G237" s="116">
        <v>3.38</v>
      </c>
      <c r="H237" s="55">
        <f t="shared" ref="H237" si="63">(100+((C237-$C$163)/$C$163*100*$C$160)+((D237-$D$163)/$D$163*100*$D$160)+((E237-$E$163)/$E$163*100*$E$160)+((F237-$F$163)/$F$163*100*$F$160)+((G237-$G$163)/$G$163*100*$G$160))*$H$163/100</f>
        <v>155.30647150395399</v>
      </c>
      <c r="L237" s="296"/>
    </row>
    <row r="238" spans="1:12" ht="15" x14ac:dyDescent="0.2">
      <c r="A238" s="10">
        <f t="shared" si="61"/>
        <v>2024</v>
      </c>
      <c r="B238" t="s">
        <v>12</v>
      </c>
      <c r="C238" s="114">
        <f t="shared" ref="C238:C239" si="64">154.8*1.0101</f>
        <v>156.36348000000001</v>
      </c>
      <c r="D238" s="201">
        <f>+'Beregning HVO indeks'!C117</f>
        <v>347.2294541115831</v>
      </c>
      <c r="E238" s="169">
        <f>131/99.8*118.4</f>
        <v>155.41482965931866</v>
      </c>
      <c r="F238" s="153">
        <f>+F$175*(122.2/103.6)</f>
        <v>123.88366586057781</v>
      </c>
      <c r="G238" s="116">
        <v>3.39</v>
      </c>
      <c r="H238" s="55">
        <f t="shared" ref="H238" si="65">(100+((C238-$C$163)/$C$163*100*$C$160)+((D238-$D$163)/$D$163*100*$D$160)+((E238-$E$163)/$E$163*100*$E$160)+((F238-$F$163)/$F$163*100*$F$160)+((G238-$G$163)/$G$163*100*$G$160))*$H$163/100</f>
        <v>154.23684032546961</v>
      </c>
      <c r="L238" s="296"/>
    </row>
    <row r="239" spans="1:12" ht="15.75" thickBot="1" x14ac:dyDescent="0.25">
      <c r="A239" s="12">
        <f t="shared" si="61"/>
        <v>2024</v>
      </c>
      <c r="B239" s="13" t="s">
        <v>13</v>
      </c>
      <c r="C239" s="119">
        <f t="shared" si="64"/>
        <v>156.36348000000001</v>
      </c>
      <c r="D239" s="209">
        <f>+'Beregning HVO indeks'!C118</f>
        <v>344.99573617578505</v>
      </c>
      <c r="E239" s="170">
        <f>131/99.8*118.5</f>
        <v>155.54609218436875</v>
      </c>
      <c r="F239" s="154">
        <f>+F$175*(122.7/103.6)</f>
        <v>124.39055483709409</v>
      </c>
      <c r="G239" s="120">
        <v>3.43</v>
      </c>
      <c r="H239" s="101">
        <f t="shared" ref="H239" si="66">(100+((C239-$C$163)/$C$163*100*$C$160)+((D239-$D$163)/$D$163*100*$D$160)+((E239-$E$163)/$E$163*100*$E$160)+((F239-$F$163)/$F$163*100*$F$160)+((G239-$G$163)/$G$163*100*$G$160))*$H$163/100</f>
        <v>154.07731026602255</v>
      </c>
      <c r="L239" s="296"/>
    </row>
    <row r="240" spans="1:12" ht="15" x14ac:dyDescent="0.2">
      <c r="A240" s="17">
        <f t="shared" si="61"/>
        <v>2024</v>
      </c>
      <c r="B240" s="22" t="s">
        <v>30</v>
      </c>
      <c r="C240" s="114">
        <f>156.1*1.0101</f>
        <v>157.67660999999998</v>
      </c>
      <c r="D240" s="201">
        <f>+'Beregning HVO indeks'!C119</f>
        <v>326.26900479199844</v>
      </c>
      <c r="E240" s="169">
        <f>131/99.8*118.5</f>
        <v>155.54609218436875</v>
      </c>
      <c r="F240" s="153">
        <f>+F$175*(123.2/103.6)</f>
        <v>124.89744381361035</v>
      </c>
      <c r="G240" s="116">
        <v>3.49</v>
      </c>
      <c r="H240" s="55">
        <f t="shared" ref="H240" si="67">(100+((C240-$C$163)/$C$163*100*$C$160)+((D240-$D$163)/$D$163*100*$D$160)+((E240-$E$163)/$E$163*100*$E$160)+((F240-$F$163)/$F$163*100*$F$160)+((G240-$G$163)/$G$163*100*$G$160))*$H$163/100</f>
        <v>152.69587786859492</v>
      </c>
    </row>
    <row r="241" spans="1:12" ht="15" x14ac:dyDescent="0.2">
      <c r="A241" s="10">
        <f t="shared" si="61"/>
        <v>2024</v>
      </c>
      <c r="B241" t="s">
        <v>14</v>
      </c>
      <c r="C241" s="114">
        <f t="shared" ref="C241" si="68">156.1*1.0101</f>
        <v>157.67660999999998</v>
      </c>
      <c r="D241" s="171">
        <f>+'Beregning HVO indeks'!C120</f>
        <v>314.50516106150997</v>
      </c>
      <c r="E241" s="169">
        <f>131/99.8*118.5</f>
        <v>155.54609218436875</v>
      </c>
      <c r="F241" s="153">
        <f>+F$175*(123.2/103.6)</f>
        <v>124.89744381361035</v>
      </c>
      <c r="G241" s="116">
        <v>3.4</v>
      </c>
      <c r="H241" s="55">
        <f t="shared" ref="H241" si="69">(100+((C241-$C$163)/$C$163*100*$C$160)+((D241-$D$163)/$D$163*100*$D$160)+((E241-$E$163)/$E$163*100*$E$160)+((F241-$F$163)/$F$163*100*$F$160)+((G241-$G$163)/$G$163*100*$G$160))*$H$163/100</f>
        <v>151.18221273446221</v>
      </c>
      <c r="L241" s="296"/>
    </row>
    <row r="242" spans="1:12" ht="15" x14ac:dyDescent="0.2">
      <c r="A242" s="12">
        <f t="shared" si="61"/>
        <v>2024</v>
      </c>
      <c r="B242" s="13" t="s">
        <v>15</v>
      </c>
      <c r="C242" s="321">
        <f>(1.0101*156.1)/121.5*121.5</f>
        <v>157.67660999999998</v>
      </c>
      <c r="D242" s="210">
        <f>+'Beregning HVO indeks'!C121</f>
        <v>329.35592946914943</v>
      </c>
      <c r="E242" s="161">
        <f>131/99.8*119.8</f>
        <v>157.25250501002006</v>
      </c>
      <c r="F242" s="155">
        <f>+F$175*(123.4/103.6)</f>
        <v>125.10019940421687</v>
      </c>
      <c r="G242" s="118">
        <v>3.12</v>
      </c>
      <c r="H242" s="136">
        <f t="shared" ref="H242:H247" si="70">(100+((C242-$C$163)/$C$163*100*$C$160)+((D242-$D$163)/$D$163*100*$D$160)+((E242-$E$163)/$E$163*100*$E$160)+((F242-$F$163)/$F$163*100*$F$160)+((G242-$G$163)/$G$163*100*$G$160))*$H$163/100</f>
        <v>152.73494619286586</v>
      </c>
      <c r="J242" t="s">
        <v>125</v>
      </c>
      <c r="L242" s="296"/>
    </row>
    <row r="243" spans="1:12" ht="15" x14ac:dyDescent="0.2">
      <c r="A243" s="10">
        <f t="shared" si="61"/>
        <v>2024</v>
      </c>
      <c r="B243" t="s">
        <v>16</v>
      </c>
      <c r="C243" s="323">
        <f>(1.0101*156.1)/121.5*125.5</f>
        <v>162.86760950617284</v>
      </c>
      <c r="D243" s="171">
        <f>+'Beregning HVO indeks'!C122</f>
        <v>310.87338847930522</v>
      </c>
      <c r="E243" s="169">
        <f>131/99.8*119.3</f>
        <v>156.59619238476955</v>
      </c>
      <c r="F243" s="153">
        <f>+F$175*(123.6/103.6)</f>
        <v>125.30295499482337</v>
      </c>
      <c r="G243" s="116">
        <v>3.05</v>
      </c>
      <c r="H243" s="55">
        <f t="shared" si="70"/>
        <v>153.28788302490676</v>
      </c>
      <c r="L243" s="296"/>
    </row>
    <row r="244" spans="1:12" ht="15" x14ac:dyDescent="0.2">
      <c r="A244" s="10">
        <f t="shared" si="61"/>
        <v>2024</v>
      </c>
      <c r="B244" t="s">
        <v>17</v>
      </c>
      <c r="C244" s="323">
        <f>(1.0101*156.1)/121.5*125.5</f>
        <v>162.86760950617284</v>
      </c>
      <c r="D244" s="114">
        <f>+'Beregning HVO indeks'!C123</f>
        <v>297.13127726725321</v>
      </c>
      <c r="E244" s="169">
        <f>131/99.8*118.9</f>
        <v>156.07114228456916</v>
      </c>
      <c r="F244" s="153">
        <f>+F$175*(123.5/103.6)</f>
        <v>125.20157719952012</v>
      </c>
      <c r="G244" s="116">
        <v>2.82</v>
      </c>
      <c r="H244" s="55">
        <f t="shared" si="70"/>
        <v>151.31684562173675</v>
      </c>
      <c r="L244" s="296"/>
    </row>
    <row r="245" spans="1:12" ht="15.75" thickBot="1" x14ac:dyDescent="0.25">
      <c r="A245" s="30">
        <f t="shared" si="61"/>
        <v>2024</v>
      </c>
      <c r="B245" s="31" t="s">
        <v>18</v>
      </c>
      <c r="C245" s="321">
        <f>(1.0101*156.1)/121.5*125.5</f>
        <v>162.86760950617284</v>
      </c>
      <c r="D245" s="209">
        <f>+'Beregning HVO indeks'!C124</f>
        <v>304.41953895906971</v>
      </c>
      <c r="E245" s="170">
        <f>131/99.8*119.6</f>
        <v>156.98997995991985</v>
      </c>
      <c r="F245" s="154">
        <f>+F$175*(122.9/103.6)</f>
        <v>124.59331042770057</v>
      </c>
      <c r="G245" s="120">
        <v>2.9</v>
      </c>
      <c r="H245" s="101">
        <f t="shared" si="70"/>
        <v>152.29238818987139</v>
      </c>
      <c r="L245" s="296"/>
    </row>
    <row r="246" spans="1:12" ht="15" x14ac:dyDescent="0.2">
      <c r="A246" s="2">
        <v>2025</v>
      </c>
      <c r="B246" s="142" t="s">
        <v>8</v>
      </c>
      <c r="C246" s="319">
        <f>(1.0101*156.1)/121.5*124.7</f>
        <v>161.82940960493826</v>
      </c>
      <c r="D246" s="201">
        <f>+'Beregning HVO indeks'!C128</f>
        <v>314.97674906811926</v>
      </c>
      <c r="E246" s="169">
        <f>131/99.8*119.2</f>
        <v>156.46492985971946</v>
      </c>
      <c r="F246" s="153">
        <f>+F$175*(123.2/103.6)</f>
        <v>124.89744381361035</v>
      </c>
      <c r="G246" s="116">
        <v>2.67</v>
      </c>
      <c r="H246" s="55">
        <f t="shared" si="70"/>
        <v>152.67812202911551</v>
      </c>
      <c r="K246" s="296"/>
    </row>
    <row r="247" spans="1:12" ht="15" x14ac:dyDescent="0.2">
      <c r="A247" s="10">
        <f t="shared" si="61"/>
        <v>2025</v>
      </c>
      <c r="B247" s="142" t="s">
        <v>9</v>
      </c>
      <c r="C247" s="320">
        <f>(1.0101*156.1)/121.5*124.7</f>
        <v>161.82940960493826</v>
      </c>
      <c r="D247" s="114">
        <f>+'Beregning HVO indeks'!C129</f>
        <v>310.7664040052199</v>
      </c>
      <c r="E247" s="169">
        <f>131/99.8*118.9</f>
        <v>156.07114228456916</v>
      </c>
      <c r="F247" s="153">
        <f>+F$175*(123.5/103.6)</f>
        <v>125.20157719952012</v>
      </c>
      <c r="G247" s="116">
        <v>2.82</v>
      </c>
      <c r="H247" s="55">
        <f t="shared" si="70"/>
        <v>152.36648388964974</v>
      </c>
      <c r="L247" s="296"/>
    </row>
    <row r="248" spans="1:12" ht="15" x14ac:dyDescent="0.2">
      <c r="A248" s="12">
        <f t="shared" si="61"/>
        <v>2025</v>
      </c>
      <c r="B248" s="291" t="s">
        <v>10</v>
      </c>
      <c r="C248" s="321">
        <f>(1.0101*156.1)/121.5*124.7</f>
        <v>161.82940960493826</v>
      </c>
      <c r="D248" s="129">
        <f t="shared" si="33"/>
        <v>310.7664040052199</v>
      </c>
      <c r="E248" s="129">
        <f t="shared" ref="E248:E257" si="71">E247*(1+(((SUM(E$234:E$245)-SUM(E$222:E$233))/SUM(E$222:E$233))/12))</f>
        <v>156.22573232467309</v>
      </c>
      <c r="F248" s="129">
        <f t="shared" ref="F248:F257" si="72">F247*(1+(((SUM(F$234:F$245)-SUM(F$222:F$233))/SUM(F$222:F$233))/12))</f>
        <v>125.20723372690783</v>
      </c>
      <c r="G248" s="72">
        <f t="shared" ref="G248:G269" si="73">+G247</f>
        <v>2.82</v>
      </c>
      <c r="H248" s="290">
        <f t="shared" ref="H248:H257" si="74">(100+((C248-$C$163)/$C$163*100*$C$160)+((D248-$D$163)/$D$163*100*$D$160)+((E248-$E$163)/$E$163*100*$E$160)+((F248-$F$163)/$F$163*100*$F$160)+((G248-$G$163)/$G$163*100*$G$160))*$H$163/100</f>
        <v>152.37771571682595</v>
      </c>
      <c r="L248" s="296"/>
    </row>
    <row r="249" spans="1:12" ht="15" x14ac:dyDescent="0.2">
      <c r="A249" s="17">
        <f t="shared" si="61"/>
        <v>2025</v>
      </c>
      <c r="B249" s="292" t="s">
        <v>11</v>
      </c>
      <c r="C249" s="128">
        <f t="shared" ref="C249:C257" si="75">C246*(1+(((SUM(C$234:C$245)-SUM(C$222:C$233))/SUM(C$222:C$233))/4))</f>
        <v>163.5582260841249</v>
      </c>
      <c r="D249" s="130">
        <f t="shared" si="33"/>
        <v>310.7664040052199</v>
      </c>
      <c r="E249" s="128">
        <f t="shared" si="71"/>
        <v>156.38047548777047</v>
      </c>
      <c r="F249" s="128">
        <f t="shared" si="72"/>
        <v>125.21289050985385</v>
      </c>
      <c r="G249" s="127">
        <f t="shared" si="73"/>
        <v>2.82</v>
      </c>
      <c r="H249" s="289">
        <f t="shared" si="74"/>
        <v>153.34410539968087</v>
      </c>
      <c r="L249" s="296"/>
    </row>
    <row r="250" spans="1:12" ht="15" x14ac:dyDescent="0.2">
      <c r="A250" s="10">
        <f t="shared" si="61"/>
        <v>2025</v>
      </c>
      <c r="B250" s="142" t="s">
        <v>12</v>
      </c>
      <c r="C250" s="128">
        <f t="shared" si="75"/>
        <v>163.5582260841249</v>
      </c>
      <c r="D250" s="128">
        <f t="shared" si="33"/>
        <v>310.7664040052199</v>
      </c>
      <c r="E250" s="128">
        <f t="shared" si="71"/>
        <v>156.53537192553119</v>
      </c>
      <c r="F250" s="128">
        <f t="shared" si="72"/>
        <v>125.21854754836971</v>
      </c>
      <c r="G250" s="71">
        <f t="shared" si="73"/>
        <v>2.82</v>
      </c>
      <c r="H250" s="289">
        <f t="shared" si="74"/>
        <v>153.355358496581</v>
      </c>
      <c r="L250" s="296"/>
    </row>
    <row r="251" spans="1:12" ht="15" x14ac:dyDescent="0.2">
      <c r="A251" s="12">
        <f t="shared" si="61"/>
        <v>2025</v>
      </c>
      <c r="B251" s="291" t="s">
        <v>13</v>
      </c>
      <c r="C251" s="129">
        <f t="shared" si="75"/>
        <v>163.5582260841249</v>
      </c>
      <c r="D251" s="129">
        <f t="shared" si="33"/>
        <v>310.7664040052199</v>
      </c>
      <c r="E251" s="129">
        <f t="shared" si="71"/>
        <v>156.69042178977534</v>
      </c>
      <c r="F251" s="129">
        <f t="shared" si="72"/>
        <v>125.22420484246696</v>
      </c>
      <c r="G251" s="72">
        <f t="shared" si="73"/>
        <v>2.82</v>
      </c>
      <c r="H251" s="290">
        <f t="shared" si="74"/>
        <v>153.36662224411302</v>
      </c>
      <c r="L251" s="296"/>
    </row>
    <row r="252" spans="1:12" ht="15" x14ac:dyDescent="0.2">
      <c r="A252" s="17">
        <f t="shared" si="61"/>
        <v>2025</v>
      </c>
      <c r="B252" s="292" t="s">
        <v>30</v>
      </c>
      <c r="C252" s="128">
        <f t="shared" si="75"/>
        <v>165.30551143387098</v>
      </c>
      <c r="D252" s="128">
        <f t="shared" si="33"/>
        <v>310.7664040052199</v>
      </c>
      <c r="E252" s="128">
        <f t="shared" si="71"/>
        <v>156.8456252324734</v>
      </c>
      <c r="F252" s="128">
        <f t="shared" si="72"/>
        <v>125.22986239215716</v>
      </c>
      <c r="G252" s="71">
        <f t="shared" si="73"/>
        <v>2.82</v>
      </c>
      <c r="H252" s="289">
        <f t="shared" si="74"/>
        <v>154.34324767476326</v>
      </c>
      <c r="L252" s="296"/>
    </row>
    <row r="253" spans="1:12" ht="15" x14ac:dyDescent="0.2">
      <c r="A253" s="10">
        <f t="shared" si="61"/>
        <v>2025</v>
      </c>
      <c r="B253" s="142" t="s">
        <v>14</v>
      </c>
      <c r="C253" s="128">
        <f t="shared" si="75"/>
        <v>165.30551143387098</v>
      </c>
      <c r="D253" s="128">
        <f t="shared" si="33"/>
        <v>310.7664040052199</v>
      </c>
      <c r="E253" s="128">
        <f t="shared" si="71"/>
        <v>157.00098240574636</v>
      </c>
      <c r="F253" s="128">
        <f t="shared" si="72"/>
        <v>125.23552019745183</v>
      </c>
      <c r="G253" s="71">
        <f t="shared" si="73"/>
        <v>2.82</v>
      </c>
      <c r="H253" s="289">
        <f t="shared" si="74"/>
        <v>154.35453275515096</v>
      </c>
      <c r="L253" s="296"/>
    </row>
    <row r="254" spans="1:12" ht="15" x14ac:dyDescent="0.2">
      <c r="A254" s="12">
        <f t="shared" si="61"/>
        <v>2025</v>
      </c>
      <c r="B254" s="291" t="s">
        <v>15</v>
      </c>
      <c r="C254" s="129">
        <f t="shared" si="75"/>
        <v>165.30551143387098</v>
      </c>
      <c r="D254" s="129">
        <f t="shared" si="33"/>
        <v>310.7664040052199</v>
      </c>
      <c r="E254" s="129">
        <f t="shared" si="71"/>
        <v>157.15649346186592</v>
      </c>
      <c r="F254" s="129">
        <f t="shared" si="72"/>
        <v>125.24117825836255</v>
      </c>
      <c r="G254" s="72">
        <f t="shared" si="73"/>
        <v>2.82</v>
      </c>
      <c r="H254" s="290">
        <f t="shared" si="74"/>
        <v>154.36582851778334</v>
      </c>
      <c r="L254" s="296"/>
    </row>
    <row r="255" spans="1:12" ht="15" x14ac:dyDescent="0.2">
      <c r="A255" s="10">
        <f t="shared" si="61"/>
        <v>2025</v>
      </c>
      <c r="B255" s="142" t="s">
        <v>16</v>
      </c>
      <c r="C255" s="128">
        <f t="shared" si="75"/>
        <v>167.07146295631</v>
      </c>
      <c r="D255" s="128">
        <f t="shared" si="33"/>
        <v>310.7664040052199</v>
      </c>
      <c r="E255" s="128">
        <f t="shared" si="71"/>
        <v>157.31215855325459</v>
      </c>
      <c r="F255" s="128">
        <f t="shared" si="72"/>
        <v>125.24683657490084</v>
      </c>
      <c r="G255" s="71">
        <f t="shared" si="73"/>
        <v>2.82</v>
      </c>
      <c r="H255" s="289">
        <f t="shared" si="74"/>
        <v>155.35279879777082</v>
      </c>
      <c r="L255" s="296"/>
    </row>
    <row r="256" spans="1:12" ht="15" x14ac:dyDescent="0.2">
      <c r="A256" s="10">
        <f t="shared" si="61"/>
        <v>2025</v>
      </c>
      <c r="B256" s="142" t="s">
        <v>17</v>
      </c>
      <c r="C256" s="128">
        <f t="shared" si="75"/>
        <v>167.07146295631</v>
      </c>
      <c r="D256" s="128">
        <f t="shared" si="33"/>
        <v>310.7664040052199</v>
      </c>
      <c r="E256" s="128">
        <f t="shared" si="71"/>
        <v>157.46797783248587</v>
      </c>
      <c r="F256" s="128">
        <f t="shared" si="72"/>
        <v>125.25249514707826</v>
      </c>
      <c r="G256" s="71">
        <f t="shared" si="73"/>
        <v>2.82</v>
      </c>
      <c r="H256" s="289">
        <f t="shared" si="74"/>
        <v>155.36411595657844</v>
      </c>
      <c r="L256" s="296"/>
    </row>
    <row r="257" spans="1:16" ht="15.75" thickBot="1" x14ac:dyDescent="0.25">
      <c r="A257" s="30">
        <f t="shared" si="61"/>
        <v>2025</v>
      </c>
      <c r="B257" s="299" t="s">
        <v>18</v>
      </c>
      <c r="C257" s="293">
        <f t="shared" si="75"/>
        <v>167.07146295631</v>
      </c>
      <c r="D257" s="293">
        <f t="shared" si="33"/>
        <v>310.7664040052199</v>
      </c>
      <c r="E257" s="293">
        <f t="shared" si="71"/>
        <v>157.62395145228436</v>
      </c>
      <c r="F257" s="293">
        <f t="shared" si="72"/>
        <v>125.25815397490636</v>
      </c>
      <c r="G257" s="294">
        <f t="shared" si="73"/>
        <v>2.82</v>
      </c>
      <c r="H257" s="295">
        <f t="shared" si="74"/>
        <v>155.37544382933754</v>
      </c>
      <c r="L257" s="296"/>
    </row>
    <row r="258" spans="1:16" ht="15" x14ac:dyDescent="0.2">
      <c r="A258" s="2">
        <v>2026</v>
      </c>
      <c r="B258" s="142" t="s">
        <v>8</v>
      </c>
      <c r="C258" s="128">
        <f>C255*(1+(((SUM(C$246:C$257)-SUM(C$234:C$245))/SUM(C$234:C$245))/4))</f>
        <v>168.7770903441496</v>
      </c>
      <c r="D258" s="128">
        <f t="shared" si="33"/>
        <v>310.7664040052199</v>
      </c>
      <c r="E258" s="128">
        <f>E257*(1+(((SUM(E$246:E$257)-SUM(E$234:E$245))/SUM(E$234:E$245))/12))</f>
        <v>157.73386734433777</v>
      </c>
      <c r="F258" s="128">
        <f>F257*(1+(((SUM(F$246:F$257)-SUM(F$234:F$245))/SUM(F$234:F$245))/12))</f>
        <v>125.29779503599744</v>
      </c>
      <c r="G258" s="71">
        <f t="shared" si="73"/>
        <v>2.82</v>
      </c>
      <c r="H258" s="300">
        <f>(100+((C258-$C$163)/$C$163*100*$C$160)+((D258-$D$163)/$D$163*100*$D$160)+((E258-$E$163)/$E$163*100*$E$160)+((F258-$F$163)/$F$163*100*$F$160)+((G258-$G$163)/$G$163*100*$G$160))*$H$163/100</f>
        <v>156.32906687340079</v>
      </c>
      <c r="L258" s="296"/>
    </row>
    <row r="259" spans="1:16" ht="15" x14ac:dyDescent="0.2">
      <c r="A259" s="10">
        <f t="shared" si="61"/>
        <v>2026</v>
      </c>
      <c r="B259" s="142" t="s">
        <v>9</v>
      </c>
      <c r="C259" s="128">
        <f t="shared" ref="C259:C269" si="76">C256*(1+(((SUM(C$246:C$257)-SUM(C$234:C$245))/SUM(C$234:C$245))/4))</f>
        <v>168.7770903441496</v>
      </c>
      <c r="D259" s="128">
        <f t="shared" si="33"/>
        <v>310.7664040052199</v>
      </c>
      <c r="E259" s="128">
        <f t="shared" ref="E259:E269" si="77">E258*(1+(((SUM(E$246:E$257)-SUM(E$234:E$245))/SUM(E$234:E$245))/12))</f>
        <v>157.84385988402764</v>
      </c>
      <c r="F259" s="128">
        <f t="shared" ref="F259:F269" si="78">F258*(1+(((SUM(F$246:F$257)-SUM(F$234:F$245))/SUM(F$234:F$245))/12))</f>
        <v>125.33744864248915</v>
      </c>
      <c r="G259" s="71">
        <f t="shared" si="73"/>
        <v>2.82</v>
      </c>
      <c r="H259" s="300">
        <f t="shared" ref="H259:H269" si="79">(100+((C259-$C$163)/$C$163*100*$C$160)+((D259-$D$163)/$D$163*100*$D$160)+((E259-$E$163)/$E$163*100*$E$160)+((F259-$F$163)/$F$163*100*$F$160)+((G259-$G$163)/$G$163*100*$G$160))*$H$163/100</f>
        <v>156.34036081580669</v>
      </c>
      <c r="L259" s="296"/>
    </row>
    <row r="260" spans="1:16" ht="15" x14ac:dyDescent="0.2">
      <c r="A260" s="12">
        <f t="shared" si="61"/>
        <v>2026</v>
      </c>
      <c r="B260" s="291" t="s">
        <v>10</v>
      </c>
      <c r="C260" s="129">
        <f t="shared" si="76"/>
        <v>168.7770903441496</v>
      </c>
      <c r="D260" s="129">
        <f t="shared" ref="D260:D269" si="80">D259</f>
        <v>310.7664040052199</v>
      </c>
      <c r="E260" s="129">
        <f t="shared" si="77"/>
        <v>157.95392912480264</v>
      </c>
      <c r="F260" s="129">
        <f t="shared" si="78"/>
        <v>125.37711479835181</v>
      </c>
      <c r="G260" s="72">
        <f t="shared" si="73"/>
        <v>2.82</v>
      </c>
      <c r="H260" s="301">
        <f t="shared" si="79"/>
        <v>156.35166123401731</v>
      </c>
      <c r="L260" s="296"/>
    </row>
    <row r="261" spans="1:16" ht="15" x14ac:dyDescent="0.2">
      <c r="A261" s="17">
        <f t="shared" si="61"/>
        <v>2026</v>
      </c>
      <c r="B261" s="292" t="s">
        <v>11</v>
      </c>
      <c r="C261" s="128">
        <f t="shared" si="76"/>
        <v>170.50013042913488</v>
      </c>
      <c r="D261" s="130">
        <f t="shared" si="80"/>
        <v>310.7664040052199</v>
      </c>
      <c r="E261" s="128">
        <f t="shared" si="77"/>
        <v>158.06407512014871</v>
      </c>
      <c r="F261" s="128">
        <f t="shared" si="78"/>
        <v>125.41679350755697</v>
      </c>
      <c r="G261" s="127">
        <f t="shared" si="73"/>
        <v>2.82</v>
      </c>
      <c r="H261" s="300">
        <f t="shared" si="79"/>
        <v>157.31492398016366</v>
      </c>
      <c r="L261" s="296"/>
    </row>
    <row r="262" spans="1:16" ht="15" x14ac:dyDescent="0.2">
      <c r="A262" s="10">
        <f t="shared" si="61"/>
        <v>2026</v>
      </c>
      <c r="B262" s="142" t="s">
        <v>12</v>
      </c>
      <c r="C262" s="128">
        <f t="shared" si="76"/>
        <v>170.50013042913488</v>
      </c>
      <c r="D262" s="128">
        <f t="shared" si="80"/>
        <v>310.7664040052199</v>
      </c>
      <c r="E262" s="128">
        <f t="shared" si="77"/>
        <v>158.17429792358914</v>
      </c>
      <c r="F262" s="128">
        <f t="shared" si="78"/>
        <v>125.45648477407745</v>
      </c>
      <c r="G262" s="71">
        <f t="shared" si="73"/>
        <v>2.82</v>
      </c>
      <c r="H262" s="300">
        <f t="shared" si="79"/>
        <v>157.32623736220481</v>
      </c>
      <c r="L262" s="296"/>
    </row>
    <row r="263" spans="1:16" ht="15" x14ac:dyDescent="0.2">
      <c r="A263" s="12">
        <f t="shared" si="61"/>
        <v>2026</v>
      </c>
      <c r="B263" s="291" t="s">
        <v>13</v>
      </c>
      <c r="C263" s="129">
        <f t="shared" si="76"/>
        <v>170.50013042913488</v>
      </c>
      <c r="D263" s="129">
        <f t="shared" si="80"/>
        <v>310.7664040052199</v>
      </c>
      <c r="E263" s="129">
        <f t="shared" si="77"/>
        <v>158.28459758868451</v>
      </c>
      <c r="F263" s="129">
        <f t="shared" si="78"/>
        <v>125.49618860188733</v>
      </c>
      <c r="G263" s="72">
        <f t="shared" si="73"/>
        <v>2.82</v>
      </c>
      <c r="H263" s="301">
        <f t="shared" si="79"/>
        <v>157.33755723227713</v>
      </c>
      <c r="L263" s="296"/>
    </row>
    <row r="264" spans="1:16" ht="15" x14ac:dyDescent="0.2">
      <c r="A264" s="17">
        <f t="shared" si="61"/>
        <v>2026</v>
      </c>
      <c r="B264" s="292" t="s">
        <v>30</v>
      </c>
      <c r="C264" s="128">
        <f t="shared" si="76"/>
        <v>172.24076097695144</v>
      </c>
      <c r="D264" s="128">
        <f t="shared" si="80"/>
        <v>310.7664040052199</v>
      </c>
      <c r="E264" s="128">
        <f t="shared" si="77"/>
        <v>158.39497416903271</v>
      </c>
      <c r="F264" s="128">
        <f t="shared" si="78"/>
        <v>125.53590499496192</v>
      </c>
      <c r="G264" s="71">
        <f t="shared" si="73"/>
        <v>2.82</v>
      </c>
      <c r="H264" s="300">
        <f t="shared" si="79"/>
        <v>158.3105579302717</v>
      </c>
      <c r="L264" s="296"/>
    </row>
    <row r="265" spans="1:16" ht="15" x14ac:dyDescent="0.2">
      <c r="A265" s="10">
        <f t="shared" si="61"/>
        <v>2026</v>
      </c>
      <c r="B265" s="142" t="s">
        <v>14</v>
      </c>
      <c r="C265" s="128">
        <f t="shared" si="76"/>
        <v>172.24076097695144</v>
      </c>
      <c r="D265" s="128">
        <f t="shared" si="80"/>
        <v>310.7664040052199</v>
      </c>
      <c r="E265" s="128">
        <f t="shared" si="77"/>
        <v>158.50542771826909</v>
      </c>
      <c r="F265" s="128">
        <f t="shared" si="78"/>
        <v>125.57563395727783</v>
      </c>
      <c r="G265" s="71">
        <f t="shared" si="73"/>
        <v>2.82</v>
      </c>
      <c r="H265" s="300">
        <f t="shared" si="79"/>
        <v>158.32189078865167</v>
      </c>
      <c r="L265" s="296"/>
    </row>
    <row r="266" spans="1:16" ht="15" x14ac:dyDescent="0.2">
      <c r="A266" s="12">
        <f t="shared" si="61"/>
        <v>2026</v>
      </c>
      <c r="B266" s="291" t="s">
        <v>15</v>
      </c>
      <c r="C266" s="129">
        <f t="shared" si="76"/>
        <v>172.24076097695144</v>
      </c>
      <c r="D266" s="129">
        <f t="shared" si="80"/>
        <v>310.7664040052199</v>
      </c>
      <c r="E266" s="129">
        <f t="shared" si="77"/>
        <v>158.61595829006632</v>
      </c>
      <c r="F266" s="129">
        <f t="shared" si="78"/>
        <v>125.6153754928129</v>
      </c>
      <c r="G266" s="72">
        <f t="shared" si="73"/>
        <v>2.82</v>
      </c>
      <c r="H266" s="301">
        <f t="shared" si="79"/>
        <v>158.33323014731354</v>
      </c>
      <c r="L266" s="296"/>
    </row>
    <row r="267" spans="1:16" ht="15" x14ac:dyDescent="0.2">
      <c r="A267" s="10">
        <f t="shared" si="61"/>
        <v>2026</v>
      </c>
      <c r="B267" s="142" t="s">
        <v>16</v>
      </c>
      <c r="C267" s="128">
        <f t="shared" si="76"/>
        <v>173.99916156808916</v>
      </c>
      <c r="D267" s="128">
        <f t="shared" si="80"/>
        <v>310.7664040052199</v>
      </c>
      <c r="E267" s="128">
        <f t="shared" si="77"/>
        <v>158.72656593813457</v>
      </c>
      <c r="F267" s="128">
        <f t="shared" si="78"/>
        <v>125.65512960554625</v>
      </c>
      <c r="G267" s="71">
        <f t="shared" si="73"/>
        <v>2.82</v>
      </c>
      <c r="H267" s="300">
        <f t="shared" si="79"/>
        <v>159.31606804964892</v>
      </c>
      <c r="L267" s="296"/>
    </row>
    <row r="268" spans="1:16" ht="15" x14ac:dyDescent="0.2">
      <c r="A268" s="10">
        <f t="shared" si="61"/>
        <v>2026</v>
      </c>
      <c r="B268" s="142" t="s">
        <v>17</v>
      </c>
      <c r="C268" s="128">
        <f t="shared" si="76"/>
        <v>173.99916156808916</v>
      </c>
      <c r="D268" s="128">
        <f t="shared" si="80"/>
        <v>310.7664040052199</v>
      </c>
      <c r="E268" s="128">
        <f t="shared" si="77"/>
        <v>158.8372507162214</v>
      </c>
      <c r="F268" s="128">
        <f t="shared" si="78"/>
        <v>125.69489629945824</v>
      </c>
      <c r="G268" s="71">
        <f t="shared" si="73"/>
        <v>2.82</v>
      </c>
      <c r="H268" s="300">
        <f t="shared" si="79"/>
        <v>159.32742042114432</v>
      </c>
      <c r="L268" s="296"/>
    </row>
    <row r="269" spans="1:16" ht="15" x14ac:dyDescent="0.2">
      <c r="A269" s="302">
        <f t="shared" si="61"/>
        <v>2026</v>
      </c>
      <c r="B269" s="303" t="s">
        <v>18</v>
      </c>
      <c r="C269" s="297">
        <f t="shared" si="76"/>
        <v>173.99916156808916</v>
      </c>
      <c r="D269" s="297">
        <f t="shared" si="80"/>
        <v>310.7664040052199</v>
      </c>
      <c r="E269" s="297">
        <f t="shared" si="77"/>
        <v>158.94801267811189</v>
      </c>
      <c r="F269" s="297">
        <f t="shared" si="78"/>
        <v>125.7346755785305</v>
      </c>
      <c r="G269" s="298">
        <f t="shared" si="73"/>
        <v>2.82</v>
      </c>
      <c r="H269" s="300">
        <f t="shared" si="79"/>
        <v>159.33877930519674</v>
      </c>
      <c r="I269" s="304"/>
      <c r="P269" s="142"/>
    </row>
    <row r="270" spans="1:16" ht="15" x14ac:dyDescent="0.2">
      <c r="A270" s="307" t="s">
        <v>42</v>
      </c>
      <c r="B270" s="308"/>
      <c r="C270" s="308"/>
      <c r="D270" s="308"/>
      <c r="E270" s="308"/>
      <c r="F270" s="309"/>
      <c r="G270" s="308"/>
      <c r="H270" s="306"/>
      <c r="I270" s="166"/>
      <c r="J270" s="304"/>
      <c r="P270" s="142"/>
    </row>
    <row r="271" spans="1:16" ht="15" x14ac:dyDescent="0.2">
      <c r="A271" s="304" t="s">
        <v>43</v>
      </c>
      <c r="B271" s="304"/>
      <c r="C271" s="304"/>
      <c r="D271" s="304"/>
      <c r="E271" s="304"/>
      <c r="F271" s="310"/>
      <c r="G271" s="304"/>
      <c r="H271" s="311"/>
      <c r="I271" s="304"/>
      <c r="J271" s="304"/>
    </row>
    <row r="272" spans="1:16" ht="15" x14ac:dyDescent="0.2">
      <c r="A272" s="166" t="s">
        <v>45</v>
      </c>
      <c r="B272" s="166"/>
      <c r="C272" s="166"/>
      <c r="D272" s="166"/>
      <c r="E272" s="166"/>
      <c r="F272" s="305"/>
      <c r="G272" s="166"/>
      <c r="H272" s="314"/>
      <c r="I272" s="166"/>
      <c r="J272" s="166"/>
    </row>
    <row r="273" spans="1:11" ht="15" x14ac:dyDescent="0.2">
      <c r="A273" s="167" t="s">
        <v>115</v>
      </c>
      <c r="B273" s="167" t="s">
        <v>67</v>
      </c>
      <c r="C273" s="167"/>
      <c r="D273" s="167"/>
      <c r="E273" s="167"/>
      <c r="F273" s="312"/>
      <c r="G273" s="167"/>
      <c r="H273" s="315"/>
      <c r="I273" s="167"/>
      <c r="J273" s="167"/>
    </row>
    <row r="274" spans="1:11" ht="15" x14ac:dyDescent="0.2">
      <c r="A274" s="167" t="s">
        <v>114</v>
      </c>
      <c r="B274" s="167" t="s">
        <v>116</v>
      </c>
      <c r="C274" s="167"/>
      <c r="D274" s="167"/>
      <c r="E274" s="167"/>
      <c r="F274" s="312"/>
      <c r="G274" s="167"/>
      <c r="H274" s="315"/>
      <c r="I274" s="167"/>
      <c r="J274" s="167"/>
    </row>
    <row r="275" spans="1:11" ht="15" x14ac:dyDescent="0.2">
      <c r="A275" s="163" t="s">
        <v>71</v>
      </c>
      <c r="B275" s="164" t="s">
        <v>74</v>
      </c>
      <c r="C275" s="164"/>
      <c r="D275" s="164"/>
      <c r="E275" s="164"/>
      <c r="F275" s="313"/>
      <c r="G275" s="164"/>
      <c r="H275" s="316"/>
      <c r="I275" s="164"/>
      <c r="J275" s="164"/>
      <c r="K275" s="165"/>
    </row>
    <row r="276" spans="1:11" ht="18.75" customHeight="1" x14ac:dyDescent="0.2">
      <c r="A276" s="322" t="s">
        <v>124</v>
      </c>
      <c r="B276" s="324" t="s">
        <v>126</v>
      </c>
      <c r="C276" s="324"/>
      <c r="D276" s="324"/>
      <c r="E276" s="324"/>
      <c r="F276" s="324"/>
      <c r="G276" s="324"/>
      <c r="H276" s="324"/>
      <c r="I276" s="324"/>
      <c r="J276" s="324"/>
    </row>
  </sheetData>
  <mergeCells count="1">
    <mergeCell ref="B276:J276"/>
  </mergeCells>
  <phoneticPr fontId="4" type="noConversion"/>
  <pageMargins left="0.74803149606299213" right="0.74803149606299213" top="0.78740157480314965" bottom="0.39370078740157483" header="0" footer="0"/>
  <pageSetup paperSize="9" scale="91" fitToHeight="0" orientation="portrait" r:id="rId1"/>
  <headerFooter alignWithMargins="0">
    <oddHeader>&amp;L&amp;G&amp;R&amp;14
&amp;"Arial,Fed"HVO&amp;"Arial,Normal" &amp;"Arial,Fed"Omkostningsindeks</oddHeader>
    <oddFooter>&amp;L&amp;D&amp;RKontaktinformation: FynBus (HNB/JNB)</oddFooter>
  </headerFooter>
  <rowBreaks count="2" manualBreakCount="2">
    <brk id="245" max="9" man="1"/>
    <brk id="276" max="9" man="1"/>
  </rowBreaks>
  <legacy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pageSetUpPr fitToPage="1"/>
  </sheetPr>
  <dimension ref="A1:H267"/>
  <sheetViews>
    <sheetView topLeftCell="A220" zoomScaleNormal="100" workbookViewId="0">
      <selection activeCell="C245" sqref="C245:H245"/>
    </sheetView>
  </sheetViews>
  <sheetFormatPr defaultRowHeight="12.75" x14ac:dyDescent="0.2"/>
  <cols>
    <col min="2" max="2" width="9.5703125" customWidth="1"/>
    <col min="3" max="3" width="12.28515625" bestFit="1" customWidth="1"/>
    <col min="5" max="5" width="10.140625" customWidth="1"/>
    <col min="6" max="6" width="11.140625" customWidth="1"/>
    <col min="7" max="7" width="11.85546875" bestFit="1" customWidth="1"/>
  </cols>
  <sheetData>
    <row r="1" spans="1:8" ht="18" x14ac:dyDescent="0.25">
      <c r="A1" s="1" t="s">
        <v>22</v>
      </c>
      <c r="C1" s="2"/>
      <c r="G1" s="73" t="s">
        <v>31</v>
      </c>
    </row>
    <row r="2" spans="1:8" x14ac:dyDescent="0.2">
      <c r="C2" s="3"/>
      <c r="D2" s="3"/>
      <c r="E2" s="3"/>
      <c r="F2" s="3"/>
      <c r="G2" s="3"/>
    </row>
    <row r="3" spans="1:8" x14ac:dyDescent="0.2">
      <c r="A3" s="2" t="s">
        <v>1</v>
      </c>
      <c r="B3" s="2" t="s">
        <v>2</v>
      </c>
      <c r="C3" s="2" t="s">
        <v>3</v>
      </c>
      <c r="D3" s="2" t="s">
        <v>76</v>
      </c>
      <c r="E3" s="2" t="s">
        <v>5</v>
      </c>
      <c r="F3" s="2" t="s">
        <v>6</v>
      </c>
      <c r="G3" s="2" t="s">
        <v>7</v>
      </c>
      <c r="H3" s="2" t="s">
        <v>21</v>
      </c>
    </row>
    <row r="4" spans="1:8" hidden="1" x14ac:dyDescent="0.2">
      <c r="A4" s="2">
        <v>2005</v>
      </c>
      <c r="B4" t="s">
        <v>8</v>
      </c>
      <c r="C4" s="94" t="s">
        <v>19</v>
      </c>
      <c r="D4" s="95" t="s">
        <v>19</v>
      </c>
      <c r="E4" s="95" t="s">
        <v>19</v>
      </c>
      <c r="F4" s="95" t="s">
        <v>19</v>
      </c>
      <c r="G4" s="95" t="s">
        <v>19</v>
      </c>
      <c r="H4" s="95" t="s">
        <v>19</v>
      </c>
    </row>
    <row r="5" spans="1:8" hidden="1" x14ac:dyDescent="0.2">
      <c r="A5" s="10">
        <v>2005</v>
      </c>
      <c r="B5" t="s">
        <v>9</v>
      </c>
      <c r="C5" s="95" t="s">
        <v>19</v>
      </c>
      <c r="D5" s="95" t="s">
        <v>19</v>
      </c>
      <c r="E5" s="95" t="s">
        <v>19</v>
      </c>
      <c r="F5" s="95" t="s">
        <v>19</v>
      </c>
      <c r="G5" s="95" t="s">
        <v>19</v>
      </c>
      <c r="H5" s="95" t="s">
        <v>19</v>
      </c>
    </row>
    <row r="6" spans="1:8" hidden="1" x14ac:dyDescent="0.2">
      <c r="A6" s="12">
        <v>2005</v>
      </c>
      <c r="B6" s="13" t="s">
        <v>10</v>
      </c>
      <c r="C6" s="96" t="s">
        <v>19</v>
      </c>
      <c r="D6" s="96" t="s">
        <v>19</v>
      </c>
      <c r="E6" s="96" t="s">
        <v>19</v>
      </c>
      <c r="F6" s="96" t="s">
        <v>19</v>
      </c>
      <c r="G6" s="96" t="s">
        <v>19</v>
      </c>
      <c r="H6" s="96" t="s">
        <v>19</v>
      </c>
    </row>
    <row r="7" spans="1:8" hidden="1" x14ac:dyDescent="0.2">
      <c r="A7" s="17">
        <v>2005</v>
      </c>
      <c r="B7" s="18" t="s">
        <v>11</v>
      </c>
      <c r="C7" s="97" t="s">
        <v>19</v>
      </c>
      <c r="D7" s="97" t="s">
        <v>19</v>
      </c>
      <c r="E7" s="97" t="s">
        <v>19</v>
      </c>
      <c r="F7" s="97" t="s">
        <v>19</v>
      </c>
      <c r="G7" s="97" t="s">
        <v>19</v>
      </c>
      <c r="H7" s="97" t="s">
        <v>19</v>
      </c>
    </row>
    <row r="8" spans="1:8" hidden="1" x14ac:dyDescent="0.2">
      <c r="A8" s="10">
        <v>2005</v>
      </c>
      <c r="B8" t="s">
        <v>12</v>
      </c>
      <c r="C8" s="95" t="s">
        <v>19</v>
      </c>
      <c r="D8" s="95" t="s">
        <v>19</v>
      </c>
      <c r="E8" s="95" t="s">
        <v>19</v>
      </c>
      <c r="F8" s="95" t="s">
        <v>19</v>
      </c>
      <c r="G8" s="95" t="s">
        <v>19</v>
      </c>
      <c r="H8" s="95" t="s">
        <v>19</v>
      </c>
    </row>
    <row r="9" spans="1:8" hidden="1" x14ac:dyDescent="0.2">
      <c r="A9" s="12">
        <v>2005</v>
      </c>
      <c r="B9" s="13" t="s">
        <v>13</v>
      </c>
      <c r="C9" s="96" t="s">
        <v>19</v>
      </c>
      <c r="D9" s="96" t="s">
        <v>19</v>
      </c>
      <c r="E9" s="96" t="s">
        <v>19</v>
      </c>
      <c r="F9" s="96" t="s">
        <v>19</v>
      </c>
      <c r="G9" s="96" t="s">
        <v>19</v>
      </c>
      <c r="H9" s="96" t="s">
        <v>19</v>
      </c>
    </row>
    <row r="10" spans="1:8" hidden="1" x14ac:dyDescent="0.2">
      <c r="A10" s="17">
        <v>2005</v>
      </c>
      <c r="B10" s="22" t="s">
        <v>30</v>
      </c>
      <c r="C10" s="63">
        <f>(Indeks!C10/Indeks!$C$40*Indeks!$C$2)/Indeks!H10*100</f>
        <v>0.61188607679281115</v>
      </c>
      <c r="D10" s="63">
        <f>(Indeks!D10/Indeks!$D$40*Indeks!$D$2)/Indeks!H10*100</f>
        <v>0.15465639121680014</v>
      </c>
      <c r="E10" s="63">
        <f>(Indeks!E10/Indeks!$E$40*Indeks!$E$2)/Indeks!H10*100</f>
        <v>8.4612136470404983E-2</v>
      </c>
      <c r="F10" s="63">
        <f>(Indeks!F10/Indeks!$F$40*Indeks!$F$2)/Indeks!H10*100</f>
        <v>0.10203726514736525</v>
      </c>
      <c r="G10" s="63">
        <f>(Indeks!G10/Indeks!$G$40*Indeks!$G$2)/Indeks!H10*100</f>
        <v>4.6808130372618377E-2</v>
      </c>
      <c r="H10" s="63">
        <f t="shared" ref="H10:H39" si="0">SUM(C10:G10)</f>
        <v>0.99999999999999989</v>
      </c>
    </row>
    <row r="11" spans="1:8" hidden="1" x14ac:dyDescent="0.2">
      <c r="A11" s="10">
        <v>2005</v>
      </c>
      <c r="B11" t="s">
        <v>14</v>
      </c>
      <c r="C11" s="61">
        <f>(Indeks!C11/Indeks!$C$40*Indeks!$C$2)/Indeks!H11*100</f>
        <v>0.60761159635041417</v>
      </c>
      <c r="D11" s="61">
        <f>(Indeks!D11/Indeks!$D$40*Indeks!$D$2)/Indeks!H11*100</f>
        <v>0.16090784761494437</v>
      </c>
      <c r="E11" s="61">
        <f>(Indeks!E11/Indeks!$E$40*Indeks!$E$2)/Indeks!H11*100</f>
        <v>8.4097232643549902E-2</v>
      </c>
      <c r="F11" s="61">
        <f>(Indeks!F11/Indeks!$F$40*Indeks!$F$2)/Indeks!H11*100</f>
        <v>0.10173220307661329</v>
      </c>
      <c r="G11" s="61">
        <f>(Indeks!G11/Indeks!$G$40*Indeks!$G$2)/Indeks!H11*100</f>
        <v>4.5651120314478294E-2</v>
      </c>
      <c r="H11" s="61">
        <f t="shared" si="0"/>
        <v>1</v>
      </c>
    </row>
    <row r="12" spans="1:8" hidden="1" x14ac:dyDescent="0.2">
      <c r="A12" s="12">
        <v>2005</v>
      </c>
      <c r="B12" s="13" t="s">
        <v>15</v>
      </c>
      <c r="C12" s="62">
        <f>(Indeks!C12/Indeks!$C$40*Indeks!$C$2)/Indeks!H12*100</f>
        <v>0.60437377294674866</v>
      </c>
      <c r="D12" s="62">
        <f>(Indeks!D12/Indeks!$D$40*Indeks!$D$2)/Indeks!H12*100</f>
        <v>0.1653897609372251</v>
      </c>
      <c r="E12" s="62">
        <f>(Indeks!E12/Indeks!$E$40*Indeks!$E$2)/Indeks!H12*100</f>
        <v>8.3573328590412277E-2</v>
      </c>
      <c r="F12" s="62">
        <f>(Indeks!F12/Indeks!$F$40*Indeks!$F$2)/Indeks!H12*100</f>
        <v>0.10139288116686443</v>
      </c>
      <c r="G12" s="62">
        <f>(Indeks!G12/Indeks!$G$40*Indeks!$G$2)/Indeks!H12*100</f>
        <v>4.5270256358749601E-2</v>
      </c>
      <c r="H12" s="62">
        <f t="shared" si="0"/>
        <v>1</v>
      </c>
    </row>
    <row r="13" spans="1:8" hidden="1" x14ac:dyDescent="0.2">
      <c r="A13" s="10">
        <v>2005</v>
      </c>
      <c r="B13" t="s">
        <v>16</v>
      </c>
      <c r="C13" s="63">
        <f>(Indeks!C13/Indeks!$C$40*Indeks!$C$2)/Indeks!H13*100</f>
        <v>0.60589778919035231</v>
      </c>
      <c r="D13" s="63">
        <f>(Indeks!D13/Indeks!$D$40*Indeks!$D$2)/Indeks!H13*100</f>
        <v>0.16433237064909859</v>
      </c>
      <c r="E13" s="63">
        <f>(Indeks!E13/Indeks!$E$40*Indeks!$E$2)/Indeks!H13*100</f>
        <v>8.3367234702559606E-2</v>
      </c>
      <c r="F13" s="63">
        <f>(Indeks!F13/Indeks!$F$40*Indeks!$F$2)/Indeks!H13*100</f>
        <v>0.10124398666704326</v>
      </c>
      <c r="G13" s="63">
        <f>(Indeks!G13/Indeks!$G$40*Indeks!$G$2)/Indeks!H13*100</f>
        <v>4.5158618790946271E-2</v>
      </c>
      <c r="H13" s="63">
        <f t="shared" si="0"/>
        <v>1</v>
      </c>
    </row>
    <row r="14" spans="1:8" hidden="1" x14ac:dyDescent="0.2">
      <c r="A14" s="10">
        <v>2005</v>
      </c>
      <c r="B14" t="s">
        <v>17</v>
      </c>
      <c r="C14" s="61">
        <f>(Indeks!C14/Indeks!$C$40*Indeks!$C$2)/Indeks!H14*100</f>
        <v>0.60224100698945104</v>
      </c>
      <c r="D14" s="61">
        <f>(Indeks!D14/Indeks!$D$40*Indeks!$D$2)/Indeks!H14*100</f>
        <v>0.16811812389143332</v>
      </c>
      <c r="E14" s="61">
        <f>(Indeks!E14/Indeks!$E$40*Indeks!$E$2)/Indeks!H14*100</f>
        <v>8.3540222323038177E-2</v>
      </c>
      <c r="F14" s="61">
        <f>(Indeks!F14/Indeks!$F$40*Indeks!$F$2)/Indeks!H14*100</f>
        <v>0.1005324152036743</v>
      </c>
      <c r="G14" s="61">
        <f>(Indeks!G14/Indeks!$G$40*Indeks!$G$2)/Indeks!H14*100</f>
        <v>4.5568231592403106E-2</v>
      </c>
      <c r="H14" s="61">
        <f t="shared" si="0"/>
        <v>0.99999999999999989</v>
      </c>
    </row>
    <row r="15" spans="1:8" ht="13.5" hidden="1" thickBot="1" x14ac:dyDescent="0.25">
      <c r="A15" s="30">
        <v>2005</v>
      </c>
      <c r="B15" s="31" t="s">
        <v>18</v>
      </c>
      <c r="C15" s="64">
        <f>(Indeks!C15/Indeks!$C$40*Indeks!$C$2)/Indeks!H15*100</f>
        <v>0.59712542543431646</v>
      </c>
      <c r="D15" s="64">
        <f>(Indeks!D15/Indeks!$D$40*Indeks!$D$2)/Indeks!H15*100</f>
        <v>0.17001876837336624</v>
      </c>
      <c r="E15" s="64">
        <f>(Indeks!E15/Indeks!$E$40*Indeks!$E$2)/Indeks!H15*100</f>
        <v>8.2756123401012002E-2</v>
      </c>
      <c r="F15" s="64">
        <f>(Indeks!F15/Indeks!$F$40*Indeks!$F$2)/Indeks!H15*100</f>
        <v>9.9778146891754807E-2</v>
      </c>
      <c r="G15" s="64">
        <f>(Indeks!G15/Indeks!$G$40*Indeks!$G$2)/Indeks!H15*100</f>
        <v>5.0321535899550553E-2</v>
      </c>
      <c r="H15" s="64">
        <f t="shared" si="0"/>
        <v>1</v>
      </c>
    </row>
    <row r="16" spans="1:8" hidden="1" x14ac:dyDescent="0.2">
      <c r="A16" s="48">
        <v>2006</v>
      </c>
      <c r="B16" s="49" t="s">
        <v>8</v>
      </c>
      <c r="C16" s="61">
        <f>(Indeks!C16/Indeks!$C$40*Indeks!$C$2)/Indeks!H16*100</f>
        <v>0.60394488282288639</v>
      </c>
      <c r="D16" s="61">
        <f>(Indeks!D16/Indeks!$D$40*Indeks!$D$2)/Indeks!H16*100</f>
        <v>0.16173830201757691</v>
      </c>
      <c r="E16" s="61">
        <f>(Indeks!E16/Indeks!$E$40*Indeks!$E$2)/Indeks!H16*100</f>
        <v>8.2815990126871353E-2</v>
      </c>
      <c r="F16" s="61">
        <f>(Indeks!F16/Indeks!$F$40*Indeks!$F$2)/Indeks!H16*100</f>
        <v>9.9920639096926722E-2</v>
      </c>
      <c r="G16" s="61">
        <f>(Indeks!G16/Indeks!$G$40*Indeks!$G$2)/Indeks!H16*100</f>
        <v>5.1580185935738695E-2</v>
      </c>
      <c r="H16" s="61">
        <f t="shared" si="0"/>
        <v>1</v>
      </c>
    </row>
    <row r="17" spans="1:8" hidden="1" x14ac:dyDescent="0.2">
      <c r="A17" s="10">
        <v>2006</v>
      </c>
      <c r="B17" t="s">
        <v>9</v>
      </c>
      <c r="C17" s="61">
        <f>(Indeks!C17/Indeks!$C$40*Indeks!$C$2)/Indeks!H17*100</f>
        <v>0.60577489209437663</v>
      </c>
      <c r="D17" s="61">
        <f>(Indeks!D17/Indeks!$D$40*Indeks!$D$2)/Indeks!H17*100</f>
        <v>0.16119754453041626</v>
      </c>
      <c r="E17" s="61">
        <f>(Indeks!E17/Indeks!$E$40*Indeks!$E$2)/Indeks!H17*100</f>
        <v>8.3066930293880389E-2</v>
      </c>
      <c r="F17" s="61">
        <f>(Indeks!F17/Indeks!$F$40*Indeks!$F$2)/Indeks!H17*100</f>
        <v>9.9721789285774035E-2</v>
      </c>
      <c r="G17" s="61">
        <f>(Indeks!G17/Indeks!$G$40*Indeks!$G$2)/Indeks!H17*100</f>
        <v>5.0238843795552567E-2</v>
      </c>
      <c r="H17" s="61">
        <f t="shared" si="0"/>
        <v>0.99999999999999978</v>
      </c>
    </row>
    <row r="18" spans="1:8" hidden="1" x14ac:dyDescent="0.2">
      <c r="A18" s="12">
        <v>2006</v>
      </c>
      <c r="B18" s="13" t="s">
        <v>10</v>
      </c>
      <c r="C18" s="62">
        <f>(Indeks!C18/Indeks!$C$40*Indeks!$C$2)/Indeks!H18*100</f>
        <v>0.60476960711114647</v>
      </c>
      <c r="D18" s="62">
        <f>(Indeks!D18/Indeks!$D$40*Indeks!$D$2)/Indeks!H18*100</f>
        <v>0.16221644795827478</v>
      </c>
      <c r="E18" s="62">
        <f>(Indeks!E18/Indeks!$E$40*Indeks!$E$2)/Indeks!H18*100</f>
        <v>8.2629697548409389E-2</v>
      </c>
      <c r="F18" s="62">
        <f>(Indeks!F18/Indeks!$F$40*Indeks!$F$2)/Indeks!H18*100</f>
        <v>9.9956929698074348E-2</v>
      </c>
      <c r="G18" s="62">
        <f>(Indeks!G18/Indeks!$G$40*Indeks!$G$2)/Indeks!H18*100</f>
        <v>5.0427317684094954E-2</v>
      </c>
      <c r="H18" s="62">
        <f t="shared" si="0"/>
        <v>0.99999999999999989</v>
      </c>
    </row>
    <row r="19" spans="1:8" hidden="1" x14ac:dyDescent="0.2">
      <c r="A19" s="17">
        <v>2006</v>
      </c>
      <c r="B19" s="18" t="s">
        <v>11</v>
      </c>
      <c r="C19" s="63">
        <f>(Indeks!C19/Indeks!$C$40*Indeks!$C$2)/Indeks!H19*100</f>
        <v>0.60565174143485312</v>
      </c>
      <c r="D19" s="63">
        <f>(Indeks!D19/Indeks!$D$40*Indeks!$D$2)/Indeks!H19*100</f>
        <v>0.16105234848145211</v>
      </c>
      <c r="E19" s="63">
        <f>(Indeks!E19/Indeks!$E$40*Indeks!$E$2)/Indeks!H19*100</f>
        <v>8.291988158467839E-2</v>
      </c>
      <c r="F19" s="63">
        <f>(Indeks!F19/Indeks!$F$40*Indeks!$F$2)/Indeks!H19*100</f>
        <v>9.8920309613118471E-2</v>
      </c>
      <c r="G19" s="63">
        <f>(Indeks!G19/Indeks!$G$40*Indeks!$G$2)/Indeks!H19*100</f>
        <v>5.1455718885897915E-2</v>
      </c>
      <c r="H19" s="63">
        <f t="shared" si="0"/>
        <v>1</v>
      </c>
    </row>
    <row r="20" spans="1:8" hidden="1" x14ac:dyDescent="0.2">
      <c r="A20" s="10">
        <v>2006</v>
      </c>
      <c r="B20" t="s">
        <v>12</v>
      </c>
      <c r="C20" s="61">
        <f>(Indeks!C20/Indeks!$C$40*Indeks!$C$2)/Indeks!H20*100</f>
        <v>0.60271032763559296</v>
      </c>
      <c r="D20" s="61">
        <f>(Indeks!D20/Indeks!$D$40*Indeks!$D$2)/Indeks!H20*100</f>
        <v>0.16217815850485515</v>
      </c>
      <c r="E20" s="61">
        <f>(Indeks!E20/Indeks!$E$40*Indeks!$E$2)/Indeks!H20*100</f>
        <v>8.2813197857281334E-2</v>
      </c>
      <c r="F20" s="61">
        <f>(Indeks!F20/Indeks!$F$40*Indeks!$F$2)/Indeks!H20*100</f>
        <v>9.8538926427594084E-2</v>
      </c>
      <c r="G20" s="61">
        <f>(Indeks!G20/Indeks!$G$40*Indeks!$G$2)/Indeks!H20*100</f>
        <v>5.3759389574676374E-2</v>
      </c>
      <c r="H20" s="61">
        <f t="shared" si="0"/>
        <v>1</v>
      </c>
    </row>
    <row r="21" spans="1:8" hidden="1" x14ac:dyDescent="0.2">
      <c r="A21" s="12">
        <v>2006</v>
      </c>
      <c r="B21" s="13" t="s">
        <v>13</v>
      </c>
      <c r="C21" s="62">
        <f>(Indeks!C21/Indeks!$C$40*Indeks!$C$2)/Indeks!H21*100</f>
        <v>0.6004293218563298</v>
      </c>
      <c r="D21" s="62">
        <f>(Indeks!D21/Indeks!$D$40*Indeks!$D$2)/Indeks!H21*100</f>
        <v>0.16333842247677172</v>
      </c>
      <c r="E21" s="62">
        <f>(Indeks!E21/Indeks!$E$40*Indeks!$E$2)/Indeks!H21*100</f>
        <v>8.286841638542243E-2</v>
      </c>
      <c r="F21" s="62">
        <f>(Indeks!F21/Indeks!$F$40*Indeks!$F$2)/Indeks!H21*100</f>
        <v>9.8067338629474907E-2</v>
      </c>
      <c r="G21" s="62">
        <f>(Indeks!G21/Indeks!$G$40*Indeks!$G$2)/Indeks!H21*100</f>
        <v>5.5296500652001347E-2</v>
      </c>
      <c r="H21" s="62">
        <f t="shared" si="0"/>
        <v>1.0000000000000002</v>
      </c>
    </row>
    <row r="22" spans="1:8" hidden="1" x14ac:dyDescent="0.2">
      <c r="A22" s="17">
        <v>2006</v>
      </c>
      <c r="B22" s="22" t="s">
        <v>30</v>
      </c>
      <c r="C22" s="63">
        <f>(Indeks!C22/Indeks!$C$40*Indeks!$C$2)/Indeks!H22*100</f>
        <v>0.60178874865918519</v>
      </c>
      <c r="D22" s="63">
        <f>(Indeks!D22/Indeks!$D$40*Indeks!$D$2)/Indeks!H22*100</f>
        <v>0.16419971290900576</v>
      </c>
      <c r="E22" s="63">
        <f>(Indeks!E22/Indeks!$E$40*Indeks!$E$2)/Indeks!H22*100</f>
        <v>8.2483634476023249E-2</v>
      </c>
      <c r="F22" s="63">
        <f>(Indeks!F22/Indeks!$F$40*Indeks!$F$2)/Indeks!H22*100</f>
        <v>9.6936534135910579E-2</v>
      </c>
      <c r="G22" s="63">
        <f>(Indeks!G22/Indeks!$G$40*Indeks!$G$2)/Indeks!H22*100</f>
        <v>5.4591369819875349E-2</v>
      </c>
      <c r="H22" s="63">
        <f t="shared" si="0"/>
        <v>1.0000000000000002</v>
      </c>
    </row>
    <row r="23" spans="1:8" hidden="1" x14ac:dyDescent="0.2">
      <c r="A23" s="10">
        <v>2006</v>
      </c>
      <c r="B23" t="s">
        <v>14</v>
      </c>
      <c r="C23" s="61">
        <f>(Indeks!C23/Indeks!$C$40*Indeks!$C$2)/Indeks!H23*100</f>
        <v>0.60124781101898783</v>
      </c>
      <c r="D23" s="61">
        <f>(Indeks!D23/Indeks!$D$40*Indeks!$D$2)/Indeks!H23*100</f>
        <v>0.16405211658817065</v>
      </c>
      <c r="E23" s="61">
        <f>(Indeks!E23/Indeks!$E$40*Indeks!$E$2)/Indeks!H23*100</f>
        <v>8.2629249987673292E-2</v>
      </c>
      <c r="F23" s="61">
        <f>(Indeks!F23/Indeks!$F$40*Indeks!$F$2)/Indeks!H23*100</f>
        <v>9.6065193874741939E-2</v>
      </c>
      <c r="G23" s="61">
        <f>(Indeks!G23/Indeks!$G$40*Indeks!$G$2)/Indeks!H23*100</f>
        <v>5.6005628530426316E-2</v>
      </c>
      <c r="H23" s="61">
        <f t="shared" si="0"/>
        <v>1</v>
      </c>
    </row>
    <row r="24" spans="1:8" hidden="1" x14ac:dyDescent="0.2">
      <c r="A24" s="12">
        <v>2006</v>
      </c>
      <c r="B24" s="13" t="s">
        <v>15</v>
      </c>
      <c r="C24" s="62">
        <f>(Indeks!C24/Indeks!$C$40*Indeks!$C$2)/Indeks!H24*100</f>
        <v>0.6009219316539961</v>
      </c>
      <c r="D24" s="62">
        <f>(Indeks!D24/Indeks!$D$40*Indeks!$D$2)/Indeks!H24*100</f>
        <v>0.16509571585188784</v>
      </c>
      <c r="E24" s="62">
        <f>(Indeks!E24/Indeks!$E$40*Indeks!$E$2)/Indeks!H24*100</f>
        <v>8.2364824981540491E-2</v>
      </c>
      <c r="F24" s="62">
        <f>(Indeks!F24/Indeks!$F$40*Indeks!$F$2)/Indeks!H24*100</f>
        <v>9.6307043784929686E-2</v>
      </c>
      <c r="G24" s="62">
        <f>(Indeks!G24/Indeks!$G$40*Indeks!$G$2)/Indeks!H24*100</f>
        <v>5.5310483727645812E-2</v>
      </c>
      <c r="H24" s="62">
        <f t="shared" si="0"/>
        <v>1</v>
      </c>
    </row>
    <row r="25" spans="1:8" hidden="1" x14ac:dyDescent="0.2">
      <c r="A25" s="10">
        <v>2006</v>
      </c>
      <c r="B25" t="s">
        <v>16</v>
      </c>
      <c r="C25" s="63">
        <f>(Indeks!C25/Indeks!$C$40*Indeks!$C$2)/Indeks!H25*100</f>
        <v>0.60088378917885732</v>
      </c>
      <c r="D25" s="63">
        <f>(Indeks!D25/Indeks!$D$40*Indeks!$D$2)/Indeks!H25*100</f>
        <v>0.16718280096156343</v>
      </c>
      <c r="E25" s="63">
        <f>(Indeks!E25/Indeks!$E$40*Indeks!$E$2)/Indeks!H25*100</f>
        <v>8.1724228863008799E-2</v>
      </c>
      <c r="F25" s="63">
        <f>(Indeks!F25/Indeks!$F$40*Indeks!$F$2)/Indeks!H25*100</f>
        <v>9.5460800843165008E-2</v>
      </c>
      <c r="G25" s="63">
        <f>(Indeks!G25/Indeks!$G$40*Indeks!$G$2)/Indeks!H25*100</f>
        <v>5.4748380153405593E-2</v>
      </c>
      <c r="H25" s="63">
        <f t="shared" si="0"/>
        <v>1.0000000000000002</v>
      </c>
    </row>
    <row r="26" spans="1:8" hidden="1" x14ac:dyDescent="0.2">
      <c r="A26" s="10">
        <v>2006</v>
      </c>
      <c r="B26" t="s">
        <v>17</v>
      </c>
      <c r="C26" s="61">
        <f>(Indeks!C26/Indeks!$C$40*Indeks!$C$2)/Indeks!H26*100</f>
        <v>0.60517892342156232</v>
      </c>
      <c r="D26" s="61">
        <f>(Indeks!D26/Indeks!$D$40*Indeks!$D$2)/Indeks!H26*100</f>
        <v>0.16146163672551864</v>
      </c>
      <c r="E26" s="61">
        <f>(Indeks!E26/Indeks!$E$40*Indeks!$E$2)/Indeks!H26*100</f>
        <v>8.2601048026331586E-2</v>
      </c>
      <c r="F26" s="61">
        <f>(Indeks!F26/Indeks!$F$40*Indeks!$F$2)/Indeks!H26*100</f>
        <v>9.5751535513114952E-2</v>
      </c>
      <c r="G26" s="61">
        <f>(Indeks!G26/Indeks!$G$40*Indeks!$G$2)/Indeks!H26*100</f>
        <v>5.5006856313472401E-2</v>
      </c>
      <c r="H26" s="61">
        <f t="shared" si="0"/>
        <v>0.99999999999999989</v>
      </c>
    </row>
    <row r="27" spans="1:8" ht="13.5" hidden="1" thickBot="1" x14ac:dyDescent="0.25">
      <c r="A27" s="30">
        <v>2006</v>
      </c>
      <c r="B27" s="31" t="s">
        <v>18</v>
      </c>
      <c r="C27" s="64">
        <f>(Indeks!C27/Indeks!$C$40*Indeks!$C$2)/Indeks!H27*100</f>
        <v>0.60699010960025568</v>
      </c>
      <c r="D27" s="64">
        <f>(Indeks!D27/Indeks!$D$40*Indeks!$D$2)/Indeks!H27*100</f>
        <v>0.1565214738124156</v>
      </c>
      <c r="E27" s="64">
        <f>(Indeks!E27/Indeks!$E$40*Indeks!$E$2)/Indeks!H27*100</f>
        <v>8.2774875375180648E-2</v>
      </c>
      <c r="F27" s="64">
        <f>(Indeks!F27/Indeks!$F$40*Indeks!$F$2)/Indeks!H27*100</f>
        <v>9.57435063639515E-2</v>
      </c>
      <c r="G27" s="64">
        <f>(Indeks!G27/Indeks!$G$40*Indeks!$G$2)/Indeks!H27*100</f>
        <v>5.7970034848196753E-2</v>
      </c>
      <c r="H27" s="64">
        <f t="shared" si="0"/>
        <v>1.0000000000000002</v>
      </c>
    </row>
    <row r="28" spans="1:8" hidden="1" x14ac:dyDescent="0.2">
      <c r="A28" s="48">
        <v>2007</v>
      </c>
      <c r="B28" s="49" t="s">
        <v>8</v>
      </c>
      <c r="C28" s="61">
        <f>(Indeks!C28/Indeks!$C$40*Indeks!$C$2)/Indeks!H28*100</f>
        <v>0.60940856382284836</v>
      </c>
      <c r="D28" s="61">
        <f>(Indeks!D28/Indeks!$D$40*Indeks!$D$2)/Indeks!H28*100</f>
        <v>0.15558833836690872</v>
      </c>
      <c r="E28" s="61">
        <f>(Indeks!E28/Indeks!$E$40*Indeks!$E$2)/Indeks!H28*100</f>
        <v>8.2474282867115403E-2</v>
      </c>
      <c r="F28" s="61">
        <f>(Indeks!F28/Indeks!$F$40*Indeks!$F$2)/Indeks!H28*100</f>
        <v>9.5382536090224471E-2</v>
      </c>
      <c r="G28" s="61">
        <f>(Indeks!G28/Indeks!$G$40*Indeks!$G$2)/Indeks!H28*100</f>
        <v>5.714627885290282E-2</v>
      </c>
      <c r="H28" s="61">
        <f t="shared" si="0"/>
        <v>0.99999999999999989</v>
      </c>
    </row>
    <row r="29" spans="1:8" hidden="1" x14ac:dyDescent="0.2">
      <c r="A29" s="10">
        <v>2007</v>
      </c>
      <c r="B29" t="s">
        <v>9</v>
      </c>
      <c r="C29" s="61">
        <f>(Indeks!C29/Indeks!$C$40*Indeks!$C$2)/Indeks!H29*100</f>
        <v>0.60913770868189332</v>
      </c>
      <c r="D29" s="61">
        <f>(Indeks!D29/Indeks!$D$40*Indeks!$D$2)/Indeks!H29*100</f>
        <v>0.15476484903430182</v>
      </c>
      <c r="E29" s="61">
        <f>(Indeks!E29/Indeks!$E$40*Indeks!$E$2)/Indeks!H29*100</f>
        <v>8.2510774547554219E-2</v>
      </c>
      <c r="F29" s="61">
        <f>(Indeks!F29/Indeks!$F$40*Indeks!$F$2)/Indeks!H29*100</f>
        <v>9.5535913087208824E-2</v>
      </c>
      <c r="G29" s="61">
        <f>(Indeks!G29/Indeks!$G$40*Indeks!$G$2)/Indeks!H29*100</f>
        <v>5.8050754649041809E-2</v>
      </c>
      <c r="H29" s="61">
        <f t="shared" si="0"/>
        <v>1</v>
      </c>
    </row>
    <row r="30" spans="1:8" hidden="1" x14ac:dyDescent="0.2">
      <c r="A30" s="12">
        <v>2007</v>
      </c>
      <c r="B30" s="13" t="s">
        <v>10</v>
      </c>
      <c r="C30" s="62">
        <f>(Indeks!C30/Indeks!$C$40*Indeks!$C$2)/Indeks!H30*100</f>
        <v>0.61194447432116739</v>
      </c>
      <c r="D30" s="62">
        <f>(Indeks!D30/Indeks!$D$40*Indeks!$D$2)/Indeks!H30*100</f>
        <v>0.14966806989460815</v>
      </c>
      <c r="E30" s="62">
        <f>(Indeks!E30/Indeks!$E$40*Indeks!$E$2)/Indeks!H30*100</f>
        <v>8.259702551544712E-2</v>
      </c>
      <c r="F30" s="62">
        <f>(Indeks!F30/Indeks!$F$40*Indeks!$F$2)/Indeks!H30*100</f>
        <v>9.6271129039771058E-2</v>
      </c>
      <c r="G30" s="62">
        <f>(Indeks!G30/Indeks!$G$40*Indeks!$G$2)/Indeks!H30*100</f>
        <v>5.9519301229006179E-2</v>
      </c>
      <c r="H30" s="62">
        <f t="shared" si="0"/>
        <v>0.99999999999999989</v>
      </c>
    </row>
    <row r="31" spans="1:8" hidden="1" x14ac:dyDescent="0.2">
      <c r="A31" s="10">
        <v>2007</v>
      </c>
      <c r="B31" t="s">
        <v>11</v>
      </c>
      <c r="C31" s="63">
        <f>(Indeks!C31/Indeks!$C$40*Indeks!$C$2)/Indeks!H31*100</f>
        <v>0.61053038347005051</v>
      </c>
      <c r="D31" s="63">
        <f>(Indeks!D31/Indeks!$D$40*Indeks!$D$2)/Indeks!H31*100</f>
        <v>0.15266848830628221</v>
      </c>
      <c r="E31" s="63">
        <f>(Indeks!E31/Indeks!$E$40*Indeks!$E$2)/Indeks!H31*100</f>
        <v>8.2574094434012341E-2</v>
      </c>
      <c r="F31" s="63">
        <f>(Indeks!F31/Indeks!$F$40*Indeks!$F$2)/Indeks!H31*100</f>
        <v>9.5616817113506919E-2</v>
      </c>
      <c r="G31" s="63">
        <f>(Indeks!G31/Indeks!$G$40*Indeks!$G$2)/Indeks!H31*100</f>
        <v>5.8610216676147985E-2</v>
      </c>
      <c r="H31" s="63">
        <f t="shared" si="0"/>
        <v>0.99999999999999989</v>
      </c>
    </row>
    <row r="32" spans="1:8" hidden="1" x14ac:dyDescent="0.2">
      <c r="A32" s="10">
        <v>2007</v>
      </c>
      <c r="B32" t="s">
        <v>12</v>
      </c>
      <c r="C32" s="61">
        <f>(Indeks!C32/Indeks!$C$40*Indeks!$C$2)/Indeks!H32*100</f>
        <v>0.60940360594731779</v>
      </c>
      <c r="D32" s="61">
        <f>(Indeks!D32/Indeks!$D$40*Indeks!$D$2)/Indeks!H32*100</f>
        <v>0.15363375491498699</v>
      </c>
      <c r="E32" s="61">
        <f>(Indeks!E32/Indeks!$E$40*Indeks!$E$2)/Indeks!H32*100</f>
        <v>8.2784469590554965E-2</v>
      </c>
      <c r="F32" s="61">
        <f>(Indeks!F32/Indeks!$F$40*Indeks!$F$2)/Indeks!H32*100</f>
        <v>9.5149076749615119E-2</v>
      </c>
      <c r="G32" s="61">
        <f>(Indeks!G32/Indeks!$G$40*Indeks!$G$2)/Indeks!H32*100</f>
        <v>5.902909279752503E-2</v>
      </c>
      <c r="H32" s="61">
        <f t="shared" si="0"/>
        <v>0.99999999999999989</v>
      </c>
    </row>
    <row r="33" spans="1:8" hidden="1" x14ac:dyDescent="0.2">
      <c r="A33" s="12">
        <v>2007</v>
      </c>
      <c r="B33" s="13" t="s">
        <v>13</v>
      </c>
      <c r="C33" s="62">
        <f>(Indeks!C33/Indeks!$C$40*Indeks!$C$2)/Indeks!H33*100</f>
        <v>0.60711499271718061</v>
      </c>
      <c r="D33" s="62">
        <f>(Indeks!D33/Indeks!$D$40*Indeks!$D$2)/Indeks!H33*100</f>
        <v>0.15541723750276298</v>
      </c>
      <c r="E33" s="62">
        <f>(Indeks!E33/Indeks!$E$40*Indeks!$E$2)/Indeks!H33*100</f>
        <v>8.2618136456668254E-2</v>
      </c>
      <c r="F33" s="62">
        <f>(Indeks!F33/Indeks!$F$40*Indeks!$F$2)/Indeks!H33*100</f>
        <v>9.4598292165808326E-2</v>
      </c>
      <c r="G33" s="62">
        <f>(Indeks!G33/Indeks!$G$40*Indeks!$G$2)/Indeks!H33*100</f>
        <v>6.02513411575799E-2</v>
      </c>
      <c r="H33" s="62">
        <f t="shared" si="0"/>
        <v>1</v>
      </c>
    </row>
    <row r="34" spans="1:8" hidden="1" x14ac:dyDescent="0.2">
      <c r="A34" s="10">
        <v>2007</v>
      </c>
      <c r="B34" s="6" t="s">
        <v>30</v>
      </c>
      <c r="C34" s="61">
        <f>(Indeks!C34/Indeks!$C$40*Indeks!$C$2)/Indeks!H34*100</f>
        <v>0.6081933547578543</v>
      </c>
      <c r="D34" s="61">
        <f>(Indeks!D34/Indeks!$D$40*Indeks!$D$2)/Indeks!H34*100</f>
        <v>0.15385877852387919</v>
      </c>
      <c r="E34" s="61">
        <f>(Indeks!E34/Indeks!$E$40*Indeks!$E$2)/Indeks!H34*100</f>
        <v>8.2129744247012443E-2</v>
      </c>
      <c r="F34" s="61">
        <f>(Indeks!F34/Indeks!$F$40*Indeks!$F$2)/Indeks!H34*100</f>
        <v>9.3682846528918257E-2</v>
      </c>
      <c r="G34" s="61">
        <f>(Indeks!G34/Indeks!$G$40*Indeks!$G$2)/Indeks!H34*100</f>
        <v>6.2135275942335824E-2</v>
      </c>
      <c r="H34" s="61">
        <f t="shared" si="0"/>
        <v>1</v>
      </c>
    </row>
    <row r="35" spans="1:8" hidden="1" x14ac:dyDescent="0.2">
      <c r="A35" s="10">
        <v>2007</v>
      </c>
      <c r="B35" t="s">
        <v>14</v>
      </c>
      <c r="C35" s="61">
        <f>(Indeks!C35/Indeks!$C$40*Indeks!$C$2)/Indeks!H35*100</f>
        <v>0.60504475774328026</v>
      </c>
      <c r="D35" s="61">
        <f>(Indeks!D35/Indeks!$D$40*Indeks!$D$2)/Indeks!H35*100</f>
        <v>0.15649634577493732</v>
      </c>
      <c r="E35" s="61">
        <f>(Indeks!E35/Indeks!$E$40*Indeks!$E$2)/Indeks!H35*100</f>
        <v>8.163320356410525E-2</v>
      </c>
      <c r="F35" s="61">
        <f>(Indeks!F35/Indeks!$F$40*Indeks!$F$2)/Indeks!H35*100</f>
        <v>9.3197853510513462E-2</v>
      </c>
      <c r="G35" s="61">
        <f>(Indeks!G35/Indeks!$G$40*Indeks!$G$2)/Indeks!H35*100</f>
        <v>6.362783940716385E-2</v>
      </c>
      <c r="H35" s="61">
        <f t="shared" si="0"/>
        <v>1</v>
      </c>
    </row>
    <row r="36" spans="1:8" hidden="1" x14ac:dyDescent="0.2">
      <c r="A36" s="12">
        <v>2007</v>
      </c>
      <c r="B36" s="13" t="s">
        <v>15</v>
      </c>
      <c r="C36" s="62">
        <f>(Indeks!C36/Indeks!$C$40*Indeks!$C$2)/Indeks!H36*100</f>
        <v>0.60515424145306584</v>
      </c>
      <c r="D36" s="62">
        <f>(Indeks!D36/Indeks!$D$40*Indeks!$D$2)/Indeks!H36*100</f>
        <v>0.15799668279517801</v>
      </c>
      <c r="E36" s="62">
        <f>(Indeks!E36/Indeks!$E$40*Indeks!$E$2)/Indeks!H36*100</f>
        <v>8.1291122169941402E-2</v>
      </c>
      <c r="F36" s="62">
        <f>(Indeks!F36/Indeks!$F$40*Indeks!$F$2)/Indeks!H36*100</f>
        <v>9.32147177947103E-2</v>
      </c>
      <c r="G36" s="62">
        <f>(Indeks!G36/Indeks!$G$40*Indeks!$G$2)/Indeks!H36*100</f>
        <v>6.2343235787104677E-2</v>
      </c>
      <c r="H36" s="62">
        <f t="shared" si="0"/>
        <v>1.0000000000000002</v>
      </c>
    </row>
    <row r="37" spans="1:8" hidden="1" x14ac:dyDescent="0.2">
      <c r="A37" s="10">
        <v>2007</v>
      </c>
      <c r="B37" t="s">
        <v>16</v>
      </c>
      <c r="C37" s="61">
        <f>(Indeks!C37/Indeks!$C$40*Indeks!$C$2)/Indeks!H37*100</f>
        <v>0.60854985000501993</v>
      </c>
      <c r="D37" s="61">
        <f>(Indeks!D37/Indeks!$D$40*Indeks!$D$2)/Indeks!H37*100</f>
        <v>0.15613380869231785</v>
      </c>
      <c r="E37" s="61">
        <f>(Indeks!E37/Indeks!$E$40*Indeks!$E$2)/Indeks!H37*100</f>
        <v>8.0692791128711541E-2</v>
      </c>
      <c r="F37" s="61">
        <f>(Indeks!F37/Indeks!$F$40*Indeks!$F$2)/Indeks!H37*100</f>
        <v>9.2501442800379863E-2</v>
      </c>
      <c r="G37" s="61">
        <f>(Indeks!G37/Indeks!$G$40*Indeks!$G$2)/Indeks!H37*100</f>
        <v>6.2122107373570809E-2</v>
      </c>
      <c r="H37" s="61">
        <f t="shared" si="0"/>
        <v>1</v>
      </c>
    </row>
    <row r="38" spans="1:8" hidden="1" x14ac:dyDescent="0.2">
      <c r="A38" s="10">
        <v>2007</v>
      </c>
      <c r="B38" t="s">
        <v>17</v>
      </c>
      <c r="C38" s="61">
        <f>(Indeks!C38/Indeks!$C$40*Indeks!$C$2)/Indeks!H38*100</f>
        <v>0.606139213087725</v>
      </c>
      <c r="D38" s="61">
        <f>(Indeks!D38/Indeks!$D$40*Indeks!$D$2)/Indeks!H38*100</f>
        <v>0.15879572006924017</v>
      </c>
      <c r="E38" s="61">
        <f>(Indeks!E38/Indeks!$E$40*Indeks!$E$2)/Indeks!H38*100</f>
        <v>8.0797277001495832E-2</v>
      </c>
      <c r="F38" s="61">
        <f>(Indeks!F38/Indeks!$F$40*Indeks!$F$2)/Indeks!H38*100</f>
        <v>9.2135018598786853E-2</v>
      </c>
      <c r="G38" s="61">
        <f>(Indeks!G38/Indeks!$G$40*Indeks!$G$2)/Indeks!H38*100</f>
        <v>6.2132771242752176E-2</v>
      </c>
      <c r="H38" s="61">
        <f t="shared" si="0"/>
        <v>1</v>
      </c>
    </row>
    <row r="39" spans="1:8" ht="13.5" hidden="1" thickBot="1" x14ac:dyDescent="0.25">
      <c r="A39" s="30">
        <v>2007</v>
      </c>
      <c r="B39" s="31" t="s">
        <v>18</v>
      </c>
      <c r="C39" s="64">
        <f>(Indeks!C39/Indeks!$C$40*Indeks!$C$2)/Indeks!H39*100</f>
        <v>0.60550614902089706</v>
      </c>
      <c r="D39" s="64">
        <f>(Indeks!D39/Indeks!$D$40*Indeks!$D$2)/Indeks!H39*100</f>
        <v>0.15935808730150972</v>
      </c>
      <c r="E39" s="64">
        <f>(Indeks!E39/Indeks!$E$40*Indeks!$E$2)/Indeks!H39*100</f>
        <v>8.0995350499406107E-2</v>
      </c>
      <c r="F39" s="64">
        <f>(Indeks!F39/Indeks!$F$40*Indeks!$F$2)/Indeks!H39*100</f>
        <v>9.1944295241314908E-2</v>
      </c>
      <c r="G39" s="64">
        <f>(Indeks!G39/Indeks!$G$40*Indeks!$G$2)/Indeks!H39*100</f>
        <v>6.2196117936872256E-2</v>
      </c>
      <c r="H39" s="64">
        <f t="shared" si="0"/>
        <v>1</v>
      </c>
    </row>
    <row r="40" spans="1:8" s="2" customFormat="1" ht="14.1" hidden="1" customHeight="1" x14ac:dyDescent="0.2">
      <c r="A40" s="2">
        <v>2008</v>
      </c>
      <c r="B40" s="2" t="s">
        <v>8</v>
      </c>
      <c r="C40" s="65">
        <f>(Indeks!C40/Indeks!$C$40*Indeks!$C$2)/Indeks!H40*100</f>
        <v>0.6</v>
      </c>
      <c r="D40" s="65">
        <f>(Indeks!D40/Indeks!$D$40*Indeks!$D$2)/Indeks!H40*100</f>
        <v>0.17</v>
      </c>
      <c r="E40" s="65">
        <f>(Indeks!E40/Indeks!$E$40*Indeks!$E$2)/Indeks!H40*100</f>
        <v>0.08</v>
      </c>
      <c r="F40" s="65">
        <f>(Indeks!F40/Indeks!$F$40*Indeks!$F$2)/Indeks!H40*100</f>
        <v>0.09</v>
      </c>
      <c r="G40" s="65">
        <f>(Indeks!G40/Indeks!$G$40*Indeks!$G$2)/Indeks!H40*100</f>
        <v>0.06</v>
      </c>
      <c r="H40" s="65">
        <f>SUM(C40:G40)</f>
        <v>1</v>
      </c>
    </row>
    <row r="41" spans="1:8" ht="14.1" hidden="1" customHeight="1" x14ac:dyDescent="0.2">
      <c r="A41" s="10">
        <f>A40</f>
        <v>2008</v>
      </c>
      <c r="B41" s="21" t="s">
        <v>9</v>
      </c>
      <c r="C41" s="61">
        <f>(Indeks!C41/Indeks!$C$40*Indeks!$C$2)/Indeks!H41*100</f>
        <v>0.6037222692680847</v>
      </c>
      <c r="D41" s="61">
        <f>(Indeks!D41/Indeks!$D$40*Indeks!$D$2)/Indeks!H41*100</f>
        <v>0.16326854226436496</v>
      </c>
      <c r="E41" s="61">
        <f>(Indeks!E41/Indeks!$E$40*Indeks!$E$2)/Indeks!H41*100</f>
        <v>8.0426608800619886E-2</v>
      </c>
      <c r="F41" s="61">
        <f>(Indeks!F41/Indeks!$F$40*Indeks!$F$2)/Indeks!H41*100</f>
        <v>9.0185288524547561E-2</v>
      </c>
      <c r="G41" s="21">
        <f>(Indeks!G41/Indeks!$G$40*Indeks!$G$2)/Indeks!H41*100</f>
        <v>6.2397291142382759E-2</v>
      </c>
      <c r="H41" s="61">
        <f>SUM(C41:G41)</f>
        <v>0.99999999999999989</v>
      </c>
    </row>
    <row r="42" spans="1:8" ht="14.1" hidden="1" customHeight="1" x14ac:dyDescent="0.2">
      <c r="A42" s="12">
        <f t="shared" ref="A42:A51" si="1">A41</f>
        <v>2008</v>
      </c>
      <c r="B42" s="13" t="s">
        <v>10</v>
      </c>
      <c r="C42" s="62">
        <f>(Indeks!C42/Indeks!$C$40*Indeks!$C$2)/Indeks!H42*100</f>
        <v>0.60286809743575787</v>
      </c>
      <c r="D42" s="62">
        <f>(Indeks!D42/Indeks!$D$40*Indeks!$D$2)/Indeks!H42*100</f>
        <v>0.16770259377081992</v>
      </c>
      <c r="E42" s="62">
        <f>(Indeks!E42/Indeks!$E$40*Indeks!$E$2)/Indeks!H42*100</f>
        <v>8.0521603316960677E-2</v>
      </c>
      <c r="F42" s="62">
        <f>(Indeks!F42/Indeks!$F$40*Indeks!$F$2)/Indeks!H42*100</f>
        <v>9.0895869685473668E-2</v>
      </c>
      <c r="G42" s="62">
        <f>(Indeks!G42/Indeks!$G$40*Indeks!$G$2)/Indeks!H42*100</f>
        <v>5.8011835790988016E-2</v>
      </c>
      <c r="H42" s="62">
        <f t="shared" ref="H42:H51" si="2">SUM(C42:G42)</f>
        <v>1.0000000000000002</v>
      </c>
    </row>
    <row r="43" spans="1:8" ht="14.1" hidden="1" customHeight="1" x14ac:dyDescent="0.2">
      <c r="A43" s="17">
        <f t="shared" si="1"/>
        <v>2008</v>
      </c>
      <c r="B43" s="18" t="s">
        <v>11</v>
      </c>
      <c r="C43" s="63">
        <f>(Indeks!C43/Indeks!$C$40*Indeks!$C$2)/Indeks!H43*100</f>
        <v>0.60509672081169275</v>
      </c>
      <c r="D43" s="63">
        <f>(Indeks!D43/Indeks!$D$40*Indeks!$D$2)/Indeks!H43*100</f>
        <v>0.16716193467208848</v>
      </c>
      <c r="E43" s="63">
        <f>(Indeks!E43/Indeks!$E$40*Indeks!$E$2)/Indeks!H43*100</f>
        <v>8.0829627924801584E-2</v>
      </c>
      <c r="F43" s="63">
        <f>(Indeks!F43/Indeks!$F$40*Indeks!$F$2)/Indeks!H43*100</f>
        <v>8.9875599775733464E-2</v>
      </c>
      <c r="G43" s="63">
        <f>(Indeks!G43/Indeks!$G$40*Indeks!$G$2)/Indeks!H43*100</f>
        <v>5.7036116815683734E-2</v>
      </c>
      <c r="H43" s="63">
        <f t="shared" si="2"/>
        <v>1</v>
      </c>
    </row>
    <row r="44" spans="1:8" ht="14.1" hidden="1" customHeight="1" x14ac:dyDescent="0.2">
      <c r="A44" s="10">
        <f t="shared" si="1"/>
        <v>2008</v>
      </c>
      <c r="B44" t="s">
        <v>12</v>
      </c>
      <c r="C44" s="61">
        <f>(Indeks!C44/Indeks!$C$40*Indeks!$C$2)/Indeks!H44*100</f>
        <v>0.59759071820588605</v>
      </c>
      <c r="D44" s="61">
        <f>(Indeks!D44/Indeks!$D$40*Indeks!$D$2)/Indeks!H44*100</f>
        <v>0.1750475502328161</v>
      </c>
      <c r="E44" s="61">
        <f>(Indeks!E44/Indeks!$E$40*Indeks!$E$2)/Indeks!H44*100</f>
        <v>8.0167815630538319E-2</v>
      </c>
      <c r="F44" s="61">
        <f>(Indeks!F44/Indeks!$F$40*Indeks!$F$2)/Indeks!H44*100</f>
        <v>8.8760725966451931E-2</v>
      </c>
      <c r="G44" s="61">
        <f>(Indeks!G44/Indeks!$G$40*Indeks!$G$2)/Indeks!H44*100</f>
        <v>5.8433189964307478E-2</v>
      </c>
      <c r="H44" s="61">
        <f t="shared" si="2"/>
        <v>0.99999999999999978</v>
      </c>
    </row>
    <row r="45" spans="1:8" ht="14.1" hidden="1" customHeight="1" x14ac:dyDescent="0.2">
      <c r="A45" s="12">
        <f t="shared" si="1"/>
        <v>2008</v>
      </c>
      <c r="B45" s="13" t="s">
        <v>13</v>
      </c>
      <c r="C45" s="62">
        <f>(Indeks!C45/Indeks!$C$40*Indeks!$C$2)/Indeks!H45*100</f>
        <v>0.59494076192632961</v>
      </c>
      <c r="D45" s="62">
        <f>(Indeks!D45/Indeks!$D$40*Indeks!$D$2)/Indeks!H45*100</f>
        <v>0.1759043839489014</v>
      </c>
      <c r="E45" s="62">
        <f>(Indeks!E45/Indeks!$E$40*Indeks!$E$2)/Indeks!H45*100</f>
        <v>8.0083789943459341E-2</v>
      </c>
      <c r="F45" s="62">
        <f>(Indeks!F45/Indeks!$F$40*Indeks!$F$2)/Indeks!H45*100</f>
        <v>8.8185486913374966E-2</v>
      </c>
      <c r="G45" s="62">
        <f>(Indeks!G45/Indeks!$G$40*Indeks!$G$2)/Indeks!H45*100</f>
        <v>6.0885577267934643E-2</v>
      </c>
      <c r="H45" s="62">
        <f t="shared" si="2"/>
        <v>1</v>
      </c>
    </row>
    <row r="46" spans="1:8" ht="14.1" hidden="1" customHeight="1" x14ac:dyDescent="0.2">
      <c r="A46" s="17">
        <f t="shared" si="1"/>
        <v>2008</v>
      </c>
      <c r="B46" s="22" t="s">
        <v>30</v>
      </c>
      <c r="C46" s="63">
        <f>(Indeks!C46/Indeks!$C$40*Indeks!$C$2)/Indeks!H46*100</f>
        <v>0.59048233719361365</v>
      </c>
      <c r="D46" s="63">
        <f>(Indeks!D46/Indeks!$D$40*Indeks!$D$2)/Indeks!H46*100</f>
        <v>0.18076523689568158</v>
      </c>
      <c r="E46" s="63">
        <f>(Indeks!E46/Indeks!$E$40*Indeks!$E$2)/Indeks!H46*100</f>
        <v>7.896274047966316E-2</v>
      </c>
      <c r="F46" s="63">
        <f>(Indeks!F46/Indeks!$F$40*Indeks!$F$2)/Indeks!H46*100</f>
        <v>8.6568027339674419E-2</v>
      </c>
      <c r="G46" s="63">
        <f>(Indeks!G46/Indeks!$G$40*Indeks!$G$2)/Indeks!H46*100</f>
        <v>6.3221658091367219E-2</v>
      </c>
      <c r="H46" s="63">
        <f t="shared" si="2"/>
        <v>1</v>
      </c>
    </row>
    <row r="47" spans="1:8" ht="14.1" hidden="1" customHeight="1" x14ac:dyDescent="0.2">
      <c r="A47" s="10">
        <f t="shared" si="1"/>
        <v>2008</v>
      </c>
      <c r="B47" t="s">
        <v>14</v>
      </c>
      <c r="C47" s="61">
        <f>(Indeks!C47/Indeks!$C$40*Indeks!$C$2)/Indeks!H47*100</f>
        <v>0.58317223935229101</v>
      </c>
      <c r="D47" s="61">
        <f>(Indeks!D47/Indeks!$D$40*Indeks!$D$2)/Indeks!H47*100</f>
        <v>0.18735752912824488</v>
      </c>
      <c r="E47" s="61">
        <f>(Indeks!E47/Indeks!$E$40*Indeks!$E$2)/Indeks!H47*100</f>
        <v>7.8248655065524378E-2</v>
      </c>
      <c r="F47" s="61">
        <f>(Indeks!F47/Indeks!$F$40*Indeks!$F$2)/Indeks!H47*100</f>
        <v>8.5672607020119085E-2</v>
      </c>
      <c r="G47" s="61">
        <f>(Indeks!G47/Indeks!$G$40*Indeks!$G$2)/Indeks!H47*100</f>
        <v>6.5548969433820672E-2</v>
      </c>
      <c r="H47" s="61">
        <f t="shared" si="2"/>
        <v>1</v>
      </c>
    </row>
    <row r="48" spans="1:8" ht="14.1" hidden="1" customHeight="1" x14ac:dyDescent="0.2">
      <c r="A48" s="12">
        <f t="shared" si="1"/>
        <v>2008</v>
      </c>
      <c r="B48" s="13" t="s">
        <v>15</v>
      </c>
      <c r="C48" s="62">
        <f>(Indeks!C48/Indeks!$C$40*Indeks!$C$2)/Indeks!H48*100</f>
        <v>0.58349539745158108</v>
      </c>
      <c r="D48" s="62">
        <f>(Indeks!D48/Indeks!$D$40*Indeks!$D$2)/Indeks!H48*100</f>
        <v>0.18825423900920157</v>
      </c>
      <c r="E48" s="62">
        <f>(Indeks!E48/Indeks!$E$40*Indeks!$E$2)/Indeks!H48*100</f>
        <v>7.8028406165415481E-2</v>
      </c>
      <c r="F48" s="62">
        <f>(Indeks!F48/Indeks!$F$40*Indeks!$F$2)/Indeks!H48*100</f>
        <v>8.6072839033768347E-2</v>
      </c>
      <c r="G48" s="62">
        <f>(Indeks!G48/Indeks!$G$40*Indeks!$G$2)/Indeks!H48*100</f>
        <v>6.4149118340033562E-2</v>
      </c>
      <c r="H48" s="62">
        <f t="shared" si="2"/>
        <v>1</v>
      </c>
    </row>
    <row r="49" spans="1:8" ht="14.1" hidden="1" customHeight="1" x14ac:dyDescent="0.2">
      <c r="A49" s="17">
        <f t="shared" si="1"/>
        <v>2008</v>
      </c>
      <c r="B49" s="18" t="s">
        <v>16</v>
      </c>
      <c r="C49" s="63">
        <f>(Indeks!C49/Indeks!$C$40*Indeks!$C$2)/Indeks!H49*100</f>
        <v>0.59653417421525201</v>
      </c>
      <c r="D49" s="63">
        <f>(Indeks!D49/Indeks!$D$40*Indeks!$D$2)/Indeks!H49*100</f>
        <v>0.17542588079092694</v>
      </c>
      <c r="E49" s="63">
        <f>(Indeks!E49/Indeks!$E$40*Indeks!$E$2)/Indeks!H49*100</f>
        <v>7.8911497306830142E-2</v>
      </c>
      <c r="F49" s="63">
        <f>(Indeks!F49/Indeks!$F$40*Indeks!$F$2)/Indeks!H49*100</f>
        <v>8.6900182674933019E-2</v>
      </c>
      <c r="G49" s="63">
        <f>(Indeks!G49/Indeks!$G$40*Indeks!$G$2)/Indeks!H49*100</f>
        <v>6.2228265012057929E-2</v>
      </c>
      <c r="H49" s="63">
        <f t="shared" si="2"/>
        <v>1</v>
      </c>
    </row>
    <row r="50" spans="1:8" ht="14.1" hidden="1" customHeight="1" x14ac:dyDescent="0.2">
      <c r="A50" s="10">
        <f t="shared" si="1"/>
        <v>2008</v>
      </c>
      <c r="B50" t="s">
        <v>17</v>
      </c>
      <c r="C50" s="61">
        <f>(Indeks!C50/Indeks!$C$40*Indeks!$C$2)/Indeks!H50*100</f>
        <v>0.59673730282125037</v>
      </c>
      <c r="D50" s="61">
        <f>(Indeks!D50/Indeks!$D$40*Indeks!$D$2)/Indeks!H50*100</f>
        <v>0.17445603924253902</v>
      </c>
      <c r="E50" s="61">
        <f>(Indeks!E50/Indeks!$E$40*Indeks!$E$2)/Indeks!H50*100</f>
        <v>7.9271160269587429E-2</v>
      </c>
      <c r="F50" s="61">
        <f>(Indeks!F50/Indeks!$F$40*Indeks!$F$2)/Indeks!H50*100</f>
        <v>8.7286043020723819E-2</v>
      </c>
      <c r="G50" s="61">
        <f>(Indeks!G50/Indeks!$G$40*Indeks!$G$2)/Indeks!H50*100</f>
        <v>6.2249454645899482E-2</v>
      </c>
      <c r="H50" s="61">
        <f t="shared" si="2"/>
        <v>1.0000000000000002</v>
      </c>
    </row>
    <row r="51" spans="1:8" ht="14.1" hidden="1" customHeight="1" thickBot="1" x14ac:dyDescent="0.25">
      <c r="A51" s="30">
        <f t="shared" si="1"/>
        <v>2008</v>
      </c>
      <c r="B51" s="31" t="s">
        <v>18</v>
      </c>
      <c r="C51" s="64">
        <f>(Indeks!C51/Indeks!$C$40*Indeks!$C$2)/Indeks!H51*100</f>
        <v>0.60105446764492776</v>
      </c>
      <c r="D51" s="64">
        <f>(Indeks!D51/Indeks!$D$40*Indeks!$D$2)/Indeks!H51*100</f>
        <v>0.16361953405577373</v>
      </c>
      <c r="E51" s="64">
        <f>(Indeks!E51/Indeks!$E$40*Indeks!$E$2)/Indeks!H51*100</f>
        <v>7.9710576590961341E-2</v>
      </c>
      <c r="F51" s="64">
        <f>(Indeks!F51/Indeks!$F$40*Indeks!$F$2)/Indeks!H51*100</f>
        <v>8.9263200350614386E-2</v>
      </c>
      <c r="G51" s="64">
        <f>(Indeks!G51/Indeks!$G$40*Indeks!$G$2)/Indeks!H51*100</f>
        <v>6.6352221357722757E-2</v>
      </c>
      <c r="H51" s="64">
        <f t="shared" si="2"/>
        <v>1</v>
      </c>
    </row>
    <row r="52" spans="1:8" ht="14.1" hidden="1" customHeight="1" x14ac:dyDescent="0.2">
      <c r="A52" s="48">
        <v>2009</v>
      </c>
      <c r="B52" s="49" t="s">
        <v>8</v>
      </c>
      <c r="C52" s="50">
        <f>(Indeks!C52/Indeks!$C$40*Indeks!$C$2)/Indeks!H52*100</f>
        <v>0.61209827620496648</v>
      </c>
      <c r="D52" s="50">
        <f>(Indeks!D52/Indeks!$D$40*Indeks!$D$2)/Indeks!H52*100</f>
        <v>0.15594702694224746</v>
      </c>
      <c r="E52" s="50">
        <f>(Indeks!E52/Indeks!$E$40*Indeks!$E$2)/Indeks!H52*100</f>
        <v>8.018563292930736E-2</v>
      </c>
      <c r="F52" s="50">
        <f>(Indeks!F52/Indeks!$F$40*Indeks!$F$2)/Indeks!H52*100</f>
        <v>9.0746123594251243E-2</v>
      </c>
      <c r="G52" s="50">
        <f>(Indeks!G52/Indeks!$G$40*Indeks!$G$2)/Indeks!H52*100</f>
        <v>6.1022940329227449E-2</v>
      </c>
      <c r="H52" s="50">
        <f t="shared" ref="H52:H58" si="3">SUM(C52:G52)</f>
        <v>1</v>
      </c>
    </row>
    <row r="53" spans="1:8" ht="14.1" hidden="1" customHeight="1" x14ac:dyDescent="0.2">
      <c r="A53" s="10">
        <f>A52</f>
        <v>2009</v>
      </c>
      <c r="B53" t="s">
        <v>9</v>
      </c>
      <c r="C53" s="61">
        <f>(Indeks!C53/Indeks!$C$40*Indeks!$C$2)/Indeks!H53*100</f>
        <v>0.62431006852098359</v>
      </c>
      <c r="D53" s="61">
        <f>(Indeks!D53/Indeks!$D$40*Indeks!$D$2)/Indeks!H53*100</f>
        <v>0.14602071617330725</v>
      </c>
      <c r="E53" s="61">
        <f>(Indeks!E53/Indeks!$E$40*Indeks!$E$2)/Indeks!H53*100</f>
        <v>8.1509556796623001E-2</v>
      </c>
      <c r="F53" s="61">
        <f>(Indeks!F53/Indeks!$F$40*Indeks!$F$2)/Indeks!H53*100</f>
        <v>9.2556572762132125E-2</v>
      </c>
      <c r="G53" s="61">
        <f>(Indeks!G53/Indeks!$G$40*Indeks!$G$2)/Indeks!H53*100</f>
        <v>5.5603085746954044E-2</v>
      </c>
      <c r="H53" s="61">
        <f t="shared" si="3"/>
        <v>1</v>
      </c>
    </row>
    <row r="54" spans="1:8" ht="14.1" hidden="1" customHeight="1" x14ac:dyDescent="0.2">
      <c r="A54" s="12">
        <f t="shared" ref="A54:A63" si="4">A53</f>
        <v>2009</v>
      </c>
      <c r="B54" s="13" t="s">
        <v>10</v>
      </c>
      <c r="C54" s="62">
        <f>(Indeks!C54/Indeks!$C$40*Indeks!$C$2)/Indeks!H54*100</f>
        <v>0.62682845992187919</v>
      </c>
      <c r="D54" s="62">
        <f>(Indeks!D54/Indeks!$D$40*Indeks!$D$2)/Indeks!H54*100</f>
        <v>0.14458672200935604</v>
      </c>
      <c r="E54" s="62">
        <f>(Indeks!E54/Indeks!$E$40*Indeks!$E$2)/Indeks!H54*100</f>
        <v>8.1561407749565037E-2</v>
      </c>
      <c r="F54" s="62">
        <f>(Indeks!F54/Indeks!$F$40*Indeks!$F$2)/Indeks!H54*100</f>
        <v>9.1447503134238772E-2</v>
      </c>
      <c r="G54" s="62">
        <f>(Indeks!G54/Indeks!$G$40*Indeks!$G$2)/Indeks!H54*100</f>
        <v>5.5575907184961248E-2</v>
      </c>
      <c r="H54" s="62">
        <f t="shared" si="3"/>
        <v>1.0000000000000002</v>
      </c>
    </row>
    <row r="55" spans="1:8" ht="14.1" hidden="1" customHeight="1" x14ac:dyDescent="0.2">
      <c r="A55" s="17">
        <f t="shared" si="4"/>
        <v>2009</v>
      </c>
      <c r="B55" s="18" t="s">
        <v>11</v>
      </c>
      <c r="C55" s="63">
        <f>(Indeks!C55/Indeks!$C$40*Indeks!$C$2)/Indeks!H55*100</f>
        <v>0.62975652138231064</v>
      </c>
      <c r="D55" s="63">
        <f>(Indeks!D55/Indeks!$D$40*Indeks!$D$2)/Indeks!H55*100</f>
        <v>0.14328237660383619</v>
      </c>
      <c r="E55" s="63">
        <f>(Indeks!E55/Indeks!$E$40*Indeks!$E$2)/Indeks!H55*100</f>
        <v>8.226104232240096E-2</v>
      </c>
      <c r="F55" s="63">
        <f>(Indeks!F55/Indeks!$F$40*Indeks!$F$2)/Indeks!H55*100</f>
        <v>9.273316935212364E-2</v>
      </c>
      <c r="G55" s="63">
        <f>(Indeks!G55/Indeks!$G$40*Indeks!$G$2)/Indeks!H55*100</f>
        <v>5.1966890339328525E-2</v>
      </c>
      <c r="H55" s="63">
        <f t="shared" si="3"/>
        <v>1</v>
      </c>
    </row>
    <row r="56" spans="1:8" ht="14.1" hidden="1" customHeight="1" x14ac:dyDescent="0.2">
      <c r="A56" s="10">
        <f t="shared" si="4"/>
        <v>2009</v>
      </c>
      <c r="B56" t="s">
        <v>12</v>
      </c>
      <c r="C56" s="61">
        <f>(Indeks!C56/Indeks!$C$40*Indeks!$C$2)/Indeks!H56*100</f>
        <v>0.63296743858849247</v>
      </c>
      <c r="D56" s="61">
        <f>(Indeks!D56/Indeks!$D$40*Indeks!$D$2)/Indeks!H56*100</f>
        <v>0.14103499060019578</v>
      </c>
      <c r="E56" s="61">
        <f>(Indeks!E56/Indeks!$E$40*Indeks!$E$2)/Indeks!H56*100</f>
        <v>8.2957682431663071E-2</v>
      </c>
      <c r="F56" s="61">
        <f>(Indeks!F56/Indeks!$F$40*Indeks!$F$2)/Indeks!H56*100</f>
        <v>9.3576953761961554E-2</v>
      </c>
      <c r="G56" s="61">
        <f>(Indeks!G56/Indeks!$G$40*Indeks!$G$2)/Indeks!H56*100</f>
        <v>4.9462934617687235E-2</v>
      </c>
      <c r="H56" s="61">
        <f t="shared" si="3"/>
        <v>1</v>
      </c>
    </row>
    <row r="57" spans="1:8" ht="14.1" hidden="1" customHeight="1" x14ac:dyDescent="0.2">
      <c r="A57" s="12">
        <f t="shared" si="4"/>
        <v>2009</v>
      </c>
      <c r="B57" s="13" t="s">
        <v>13</v>
      </c>
      <c r="C57" s="62">
        <f>(Indeks!C57/Indeks!$C$40*Indeks!$C$2)/Indeks!H57*100</f>
        <v>0.6310994304982942</v>
      </c>
      <c r="D57" s="62">
        <f>(Indeks!D57/Indeks!$D$40*Indeks!$D$2)/Indeks!H57*100</f>
        <v>0.14525063758930537</v>
      </c>
      <c r="E57" s="62">
        <f>(Indeks!E57/Indeks!$E$40*Indeks!$E$2)/Indeks!H57*100</f>
        <v>8.2643758296556818E-2</v>
      </c>
      <c r="F57" s="62">
        <f>(Indeks!F57/Indeks!$F$40*Indeks!$F$2)/Indeks!H57*100</f>
        <v>9.2191167379316888E-2</v>
      </c>
      <c r="G57" s="62">
        <f>(Indeks!G57/Indeks!$G$40*Indeks!$G$2)/Indeks!H57*100</f>
        <v>4.8815006236526765E-2</v>
      </c>
      <c r="H57" s="62">
        <f t="shared" si="3"/>
        <v>1</v>
      </c>
    </row>
    <row r="58" spans="1:8" ht="14.1" hidden="1" customHeight="1" x14ac:dyDescent="0.2">
      <c r="A58" s="17">
        <f t="shared" si="4"/>
        <v>2009</v>
      </c>
      <c r="B58" s="22" t="s">
        <v>30</v>
      </c>
      <c r="C58" s="63">
        <f>(Indeks!C58/Indeks!$C$40*Indeks!$C$2)/Indeks!H58*100</f>
        <v>0.63288553231685318</v>
      </c>
      <c r="D58" s="63">
        <f>(Indeks!D58/Indeks!$D$40*Indeks!$D$2)/Indeks!H58*100</f>
        <v>0.14557331848852614</v>
      </c>
      <c r="E58" s="63">
        <f>(Indeks!E58/Indeks!$E$40*Indeks!$E$2)/Indeks!H58*100</f>
        <v>8.2294932720904254E-2</v>
      </c>
      <c r="F58" s="63">
        <f>(Indeks!F58/Indeks!$F$40*Indeks!$F$2)/Indeks!H58*100</f>
        <v>9.1756043034506726E-2</v>
      </c>
      <c r="G58" s="63">
        <f>(Indeks!G58/Indeks!$G$40*Indeks!$G$2)/Indeks!H58*100</f>
        <v>4.7490173439209714E-2</v>
      </c>
      <c r="H58" s="63">
        <f t="shared" si="3"/>
        <v>1</v>
      </c>
    </row>
    <row r="59" spans="1:8" ht="14.1" hidden="1" customHeight="1" x14ac:dyDescent="0.2">
      <c r="A59" s="10">
        <f t="shared" si="4"/>
        <v>2009</v>
      </c>
      <c r="B59" t="s">
        <v>14</v>
      </c>
      <c r="C59" s="61">
        <f>(Indeks!C59/Indeks!$C$40*Indeks!$C$2)/Indeks!H59*100</f>
        <v>0.63145780637370053</v>
      </c>
      <c r="D59" s="61">
        <f>(Indeks!D59/Indeks!$D$40*Indeks!$D$2)/Indeks!H59*100</f>
        <v>0.15007072341601863</v>
      </c>
      <c r="E59" s="61">
        <f>(Indeks!E59/Indeks!$E$40*Indeks!$E$2)/Indeks!H59*100</f>
        <v>8.2314728063796652E-2</v>
      </c>
      <c r="F59" s="61">
        <f>(Indeks!F59/Indeks!$F$40*Indeks!$F$2)/Indeks!H59*100</f>
        <v>9.0266080974917673E-2</v>
      </c>
      <c r="G59" s="61">
        <f>(Indeks!G59/Indeks!$G$40*Indeks!$G$2)/Indeks!H59*100</f>
        <v>4.5890661171566538E-2</v>
      </c>
      <c r="H59" s="61">
        <f>SUM(C59:G59)</f>
        <v>1.0000000000000002</v>
      </c>
    </row>
    <row r="60" spans="1:8" ht="14.1" hidden="1" customHeight="1" x14ac:dyDescent="0.2">
      <c r="A60" s="12">
        <f t="shared" si="4"/>
        <v>2009</v>
      </c>
      <c r="B60" s="13" t="s">
        <v>15</v>
      </c>
      <c r="C60" s="66">
        <f>(Indeks!C60/Indeks!$C$40*Indeks!$C$2)/Indeks!H60*100</f>
        <v>0.63567393407259898</v>
      </c>
      <c r="D60" s="66">
        <f>(Indeks!D60/Indeks!$D$40*Indeks!$D$2)/Indeks!H60*100</f>
        <v>0.14787353107986412</v>
      </c>
      <c r="E60" s="66">
        <f>(Indeks!E60/Indeks!$E$40*Indeks!$E$2)/Indeks!H60*100</f>
        <v>8.2450696117257541E-2</v>
      </c>
      <c r="F60" s="66">
        <f>(Indeks!F60/Indeks!$F$40*Indeks!$F$2)/Indeks!H60*100</f>
        <v>9.0684265886129517E-2</v>
      </c>
      <c r="G60" s="66">
        <f>(Indeks!G60/Indeks!$G$40*Indeks!$G$2)/Indeks!H60*100</f>
        <v>4.3317572844149839E-2</v>
      </c>
      <c r="H60" s="66">
        <f>SUM(C60:G60)</f>
        <v>1</v>
      </c>
    </row>
    <row r="61" spans="1:8" ht="14.1" hidden="1" customHeight="1" x14ac:dyDescent="0.2">
      <c r="A61" s="10">
        <f t="shared" si="4"/>
        <v>2009</v>
      </c>
      <c r="B61" t="s">
        <v>16</v>
      </c>
      <c r="C61" s="61">
        <f>(Indeks!C61/Indeks!$C$40*Indeks!$C$2)/Indeks!H61*100</f>
        <v>0.63203828000673312</v>
      </c>
      <c r="D61" s="61">
        <f>(Indeks!D61/Indeks!$D$40*Indeks!$D$2)/Indeks!H61*100</f>
        <v>0.15488875429020171</v>
      </c>
      <c r="E61" s="61">
        <f>(Indeks!E61/Indeks!$E$40*Indeks!$E$2)/Indeks!H61*100</f>
        <v>8.2042820799426514E-2</v>
      </c>
      <c r="F61" s="61">
        <f>(Indeks!F61/Indeks!$F$40*Indeks!$F$2)/Indeks!H61*100</f>
        <v>8.927735052068661E-2</v>
      </c>
      <c r="G61" s="61">
        <f>(Indeks!G61/Indeks!$G$40*Indeks!$G$2)/Indeks!H61*100</f>
        <v>4.1752794382952048E-2</v>
      </c>
      <c r="H61" s="61">
        <f>SUM(C61:G61)</f>
        <v>1</v>
      </c>
    </row>
    <row r="62" spans="1:8" ht="14.1" hidden="1" customHeight="1" x14ac:dyDescent="0.2">
      <c r="A62" s="10">
        <f t="shared" si="4"/>
        <v>2009</v>
      </c>
      <c r="B62" t="s">
        <v>17</v>
      </c>
      <c r="C62" s="61">
        <f>(Indeks!C62/Indeks!$C$40*Indeks!$C$2)/Indeks!H62*100</f>
        <v>0.63572805267938604</v>
      </c>
      <c r="D62" s="61">
        <f>(Indeks!D62/Indeks!$D$40*Indeks!$D$2)/Indeks!H62*100</f>
        <v>0.15153440046703587</v>
      </c>
      <c r="E62" s="61">
        <f>(Indeks!E62/Indeks!$E$40*Indeks!$E$2)/Indeks!H62*100</f>
        <v>8.2659429121412553E-2</v>
      </c>
      <c r="F62" s="61">
        <f>(Indeks!F62/Indeks!$F$40*Indeks!$F$2)/Indeks!H62*100</f>
        <v>8.9706441187488745E-2</v>
      </c>
      <c r="G62" s="61">
        <f>(Indeks!G62/Indeks!$G$40*Indeks!$G$2)/Indeks!H62*100</f>
        <v>4.0371676544676841E-2</v>
      </c>
      <c r="H62" s="61">
        <f>SUM(C62:G62)</f>
        <v>1</v>
      </c>
    </row>
    <row r="63" spans="1:8" ht="14.1" hidden="1" customHeight="1" thickBot="1" x14ac:dyDescent="0.25">
      <c r="A63" s="30">
        <f t="shared" si="4"/>
        <v>2009</v>
      </c>
      <c r="B63" s="31" t="s">
        <v>18</v>
      </c>
      <c r="C63" s="64">
        <f>(Indeks!C63/Indeks!$C$40*Indeks!$C$2)/Indeks!H63*100</f>
        <v>0.63232543212323489</v>
      </c>
      <c r="D63" s="64">
        <f>(Indeks!D63/Indeks!$D$40*Indeks!$D$2)/Indeks!H63*100</f>
        <v>0.15072333972522961</v>
      </c>
      <c r="E63" s="64">
        <f>(Indeks!E63/Indeks!$E$40*Indeks!$E$2)/Indeks!H63*100</f>
        <v>8.221700932964339E-2</v>
      </c>
      <c r="F63" s="64">
        <f>(Indeks!F63/Indeks!$F$40*Indeks!$F$2)/Indeks!H63*100</f>
        <v>8.8859871067600057E-2</v>
      </c>
      <c r="G63" s="64">
        <f>(Indeks!G63/Indeks!$G$40*Indeks!$G$2)/Indeks!H63*100</f>
        <v>4.5874347754291972E-2</v>
      </c>
      <c r="H63" s="64">
        <f>SUM(C63:G63)</f>
        <v>0.99999999999999989</v>
      </c>
    </row>
    <row r="64" spans="1:8" ht="14.1" hidden="1" customHeight="1" x14ac:dyDescent="0.2">
      <c r="A64" s="48">
        <v>2010</v>
      </c>
      <c r="B64" s="49" t="s">
        <v>8</v>
      </c>
      <c r="C64" s="50">
        <f>(Indeks!C64/Indeks!$C$40*Indeks!$C$2)/Indeks!H64*100</f>
        <v>0.63386202698226757</v>
      </c>
      <c r="D64" s="50">
        <f>(Indeks!D64/Indeks!$D$40*Indeks!$D$2)/Indeks!H64*100</f>
        <v>0.15413772432973435</v>
      </c>
      <c r="E64" s="50">
        <f>(Indeks!E64/Indeks!$E$40*Indeks!$E$2)/Indeks!H64*100</f>
        <v>8.1781197231177619E-2</v>
      </c>
      <c r="F64" s="50">
        <f>(Indeks!F64/Indeks!$F$40*Indeks!$F$2)/Indeks!H64*100</f>
        <v>8.829772427417705E-2</v>
      </c>
      <c r="G64" s="50">
        <f>(Indeks!G64/Indeks!$G$40*Indeks!$G$2)/Indeks!H64*100</f>
        <v>4.1921327182643187E-2</v>
      </c>
      <c r="H64" s="50">
        <f t="shared" ref="H64:H70" si="5">SUM(C64:G64)</f>
        <v>0.99999999999999978</v>
      </c>
    </row>
    <row r="65" spans="1:8" ht="14.1" hidden="1" customHeight="1" x14ac:dyDescent="0.2">
      <c r="A65" s="10">
        <f>A64</f>
        <v>2010</v>
      </c>
      <c r="B65" t="s">
        <v>9</v>
      </c>
      <c r="C65" s="61">
        <f>(Indeks!C65/Indeks!$C$40*Indeks!$C$2)/Indeks!H65*100</f>
        <v>0.63619543729795003</v>
      </c>
      <c r="D65" s="108">
        <f>(Indeks!D65/Indeks!$D$40*Indeks!$D$2)/Indeks!H65*100</f>
        <v>0.15212085274151568</v>
      </c>
      <c r="E65" s="108">
        <f>(Indeks!E65/Indeks!$E$40*Indeks!$E$2)/Indeks!H65*100</f>
        <v>8.1945565152495251E-2</v>
      </c>
      <c r="F65" s="108">
        <f>(Indeks!F65/Indeks!$F$40*Indeks!$F$2)/Indeks!H65*100</f>
        <v>8.8531313101617257E-2</v>
      </c>
      <c r="G65" s="108">
        <f>(Indeks!G65/Indeks!$G$40*Indeks!$G$2)/Indeks!H65*100</f>
        <v>4.1206831706421788E-2</v>
      </c>
      <c r="H65" s="108">
        <f t="shared" si="5"/>
        <v>1</v>
      </c>
    </row>
    <row r="66" spans="1:8" ht="14.1" hidden="1" customHeight="1" x14ac:dyDescent="0.2">
      <c r="A66" s="12">
        <f t="shared" ref="A66:A75" si="6">A65</f>
        <v>2010</v>
      </c>
      <c r="B66" s="13" t="s">
        <v>10</v>
      </c>
      <c r="C66" s="62">
        <f>(Indeks!C66/Indeks!$C$40*Indeks!$C$2)/Indeks!H66*100</f>
        <v>0.63185668399254313</v>
      </c>
      <c r="D66" s="62">
        <f>(Indeks!D66/Indeks!$D$40*Indeks!$D$2)/Indeks!H66*100</f>
        <v>0.15913341654508409</v>
      </c>
      <c r="E66" s="62">
        <f>(Indeks!E66/Indeks!$E$40*Indeks!$E$2)/Indeks!H66*100</f>
        <v>8.1590345694349697E-2</v>
      </c>
      <c r="F66" s="62">
        <f>(Indeks!F66/Indeks!$F$40*Indeks!$F$2)/Indeks!H66*100</f>
        <v>8.8835885793665664E-2</v>
      </c>
      <c r="G66" s="62">
        <f>(Indeks!G66/Indeks!$G$40*Indeks!$G$2)/Indeks!H66*100</f>
        <v>3.858366797435725E-2</v>
      </c>
      <c r="H66" s="62">
        <f t="shared" si="5"/>
        <v>0.99999999999999978</v>
      </c>
    </row>
    <row r="67" spans="1:8" ht="14.1" hidden="1" customHeight="1" x14ac:dyDescent="0.2">
      <c r="A67" s="17">
        <f t="shared" si="6"/>
        <v>2010</v>
      </c>
      <c r="B67" s="18" t="s">
        <v>11</v>
      </c>
      <c r="C67" s="63">
        <f>(Indeks!C67/Indeks!$C$40*Indeks!$C$2)/Indeks!H67*100</f>
        <v>0.63444367913081301</v>
      </c>
      <c r="D67" s="63">
        <f>(Indeks!D67/Indeks!$D$40*Indeks!$D$2)/Indeks!H67*100</f>
        <v>0.15678751662615942</v>
      </c>
      <c r="E67" s="63">
        <f>(Indeks!E67/Indeks!$E$40*Indeks!$E$2)/Indeks!H67*100</f>
        <v>8.2595489703609484E-2</v>
      </c>
      <c r="F67" s="63">
        <f>(Indeks!F67/Indeks!$F$40*Indeks!$F$2)/Indeks!H67*100</f>
        <v>8.9167592636617027E-2</v>
      </c>
      <c r="G67" s="63">
        <f>(Indeks!G67/Indeks!$G$40*Indeks!$G$2)/Indeks!H67*100</f>
        <v>3.7005721902801082E-2</v>
      </c>
      <c r="H67" s="63">
        <f t="shared" si="5"/>
        <v>1</v>
      </c>
    </row>
    <row r="68" spans="1:8" ht="14.1" hidden="1" customHeight="1" x14ac:dyDescent="0.2">
      <c r="A68" s="10">
        <f t="shared" si="6"/>
        <v>2010</v>
      </c>
      <c r="B68" t="s">
        <v>12</v>
      </c>
      <c r="C68" s="61">
        <f>(Indeks!C68/Indeks!$C$40*Indeks!$C$2)/Indeks!H68*100</f>
        <v>0.63062693278194271</v>
      </c>
      <c r="D68" s="61">
        <f>(Indeks!D68/Indeks!$D$40*Indeks!$D$2)/Indeks!H68*100</f>
        <v>0.16234264699698137</v>
      </c>
      <c r="E68" s="61">
        <f>(Indeks!E68/Indeks!$E$40*Indeks!$E$2)/Indeks!H68*100</f>
        <v>8.2571211032216027E-2</v>
      </c>
      <c r="F68" s="61">
        <f>(Indeks!F68/Indeks!$F$40*Indeks!$F$2)/Indeks!H68*100</f>
        <v>8.890221312386766E-2</v>
      </c>
      <c r="G68" s="61">
        <f>(Indeks!G68/Indeks!$G$40*Indeks!$G$2)/Indeks!H68*100</f>
        <v>3.5556996064992213E-2</v>
      </c>
      <c r="H68" s="61">
        <f t="shared" si="5"/>
        <v>0.99999999999999989</v>
      </c>
    </row>
    <row r="69" spans="1:8" ht="14.1" hidden="1" customHeight="1" x14ac:dyDescent="0.2">
      <c r="A69" s="12">
        <f t="shared" si="6"/>
        <v>2010</v>
      </c>
      <c r="B69" s="13" t="s">
        <v>13</v>
      </c>
      <c r="C69" s="62">
        <f>(Indeks!C69/Indeks!$C$40*Indeks!$C$2)/Indeks!H69*100</f>
        <v>0.62798838633068588</v>
      </c>
      <c r="D69" s="62">
        <f>(Indeks!D69/Indeks!$D$40*Indeks!$D$2)/Indeks!H69*100</f>
        <v>0.1670945553259171</v>
      </c>
      <c r="E69" s="62">
        <f>(Indeks!E69/Indeks!$E$40*Indeks!$E$2)/Indeks!H69*100</f>
        <v>8.2360198274562424E-2</v>
      </c>
      <c r="F69" s="62">
        <f>(Indeks!F69/Indeks!$F$40*Indeks!$F$2)/Indeks!H69*100</f>
        <v>8.8980094599757434E-2</v>
      </c>
      <c r="G69" s="62">
        <f>(Indeks!G69/Indeks!$G$40*Indeks!$G$2)/Indeks!H69*100</f>
        <v>3.3576765469077001E-2</v>
      </c>
      <c r="H69" s="62">
        <f t="shared" si="5"/>
        <v>0.99999999999999978</v>
      </c>
    </row>
    <row r="70" spans="1:8" ht="14.1" hidden="1" customHeight="1" x14ac:dyDescent="0.2">
      <c r="A70" s="17">
        <f t="shared" si="6"/>
        <v>2010</v>
      </c>
      <c r="B70" s="22" t="s">
        <v>30</v>
      </c>
      <c r="C70" s="63">
        <f>(Indeks!C70/Indeks!$C$40*Indeks!$C$2)/Indeks!H70*100</f>
        <v>0.63175476327844005</v>
      </c>
      <c r="D70" s="63">
        <f>(Indeks!D70/Indeks!$D$40*Indeks!$D$2)/Indeks!H70*100</f>
        <v>0.16855051421420622</v>
      </c>
      <c r="E70" s="63">
        <f>(Indeks!E70/Indeks!$E$40*Indeks!$E$2)/Indeks!H70*100</f>
        <v>8.194443950386808E-2</v>
      </c>
      <c r="F70" s="63">
        <f>(Indeks!F70/Indeks!$F$40*Indeks!$F$2)/Indeks!H70*100</f>
        <v>8.8351887052097941E-2</v>
      </c>
      <c r="G70" s="63">
        <f>(Indeks!G70/Indeks!$G$40*Indeks!$G$2)/Indeks!H70*100</f>
        <v>2.9398395951387719E-2</v>
      </c>
      <c r="H70" s="63">
        <f t="shared" si="5"/>
        <v>1</v>
      </c>
    </row>
    <row r="71" spans="1:8" ht="14.1" hidden="1" customHeight="1" x14ac:dyDescent="0.2">
      <c r="A71" s="10">
        <f t="shared" si="6"/>
        <v>2010</v>
      </c>
      <c r="B71" t="s">
        <v>14</v>
      </c>
      <c r="C71" s="61">
        <f>(Indeks!C71/Indeks!$C$40*Indeks!$C$2)/Indeks!H71*100</f>
        <v>0.63092285333482045</v>
      </c>
      <c r="D71" s="61">
        <f>(Indeks!D71/Indeks!$D$40*Indeks!$D$2)/Indeks!H71*100</f>
        <v>0.16740998949218996</v>
      </c>
      <c r="E71" s="61">
        <f>(Indeks!E71/Indeks!$E$40*Indeks!$E$2)/Indeks!H71*100</f>
        <v>8.1702922418834603E-2</v>
      </c>
      <c r="F71" s="61">
        <f>(Indeks!F71/Indeks!$F$40*Indeks!$F$2)/Indeks!H71*100</f>
        <v>8.975530427975062E-2</v>
      </c>
      <c r="G71" s="61">
        <f>(Indeks!G71/Indeks!$G$40*Indeks!$G$2)/Indeks!H71*100</f>
        <v>3.0208930474404039E-2</v>
      </c>
      <c r="H71" s="61">
        <f>SUM(C71:G71)</f>
        <v>0.99999999999999978</v>
      </c>
    </row>
    <row r="72" spans="1:8" ht="14.1" hidden="1" customHeight="1" x14ac:dyDescent="0.2">
      <c r="A72" s="12">
        <f t="shared" si="6"/>
        <v>2010</v>
      </c>
      <c r="B72" s="13" t="s">
        <v>15</v>
      </c>
      <c r="C72" s="66">
        <f>(Indeks!C72/Indeks!$C$40*Indeks!$C$2)/Indeks!H72*100</f>
        <v>0.63236270229886815</v>
      </c>
      <c r="D72" s="66">
        <f>(Indeks!D72/Indeks!$D$40*Indeks!$D$2)/Indeks!H72*100</f>
        <v>0.16514511591215866</v>
      </c>
      <c r="E72" s="66">
        <f>(Indeks!E72/Indeks!$E$40*Indeks!$E$2)/Indeks!H72*100</f>
        <v>8.1889379237735066E-2</v>
      </c>
      <c r="F72" s="66">
        <f>(Indeks!F72/Indeks!$F$40*Indeks!$F$2)/Indeks!H72*100</f>
        <v>8.9960137693537889E-2</v>
      </c>
      <c r="G72" s="66">
        <f>(Indeks!G72/Indeks!$G$40*Indeks!$G$2)/Indeks!H72*100</f>
        <v>3.064266485770013E-2</v>
      </c>
      <c r="H72" s="66">
        <f>SUM(C72:G72)</f>
        <v>0.99999999999999989</v>
      </c>
    </row>
    <row r="73" spans="1:8" ht="14.1" hidden="1" customHeight="1" x14ac:dyDescent="0.2">
      <c r="A73" s="10">
        <f t="shared" si="6"/>
        <v>2010</v>
      </c>
      <c r="B73" t="s">
        <v>16</v>
      </c>
      <c r="C73" s="61">
        <f>(Indeks!C73/Indeks!$C$40*Indeks!$C$2)/Indeks!H73*100</f>
        <v>0.63451992592189888</v>
      </c>
      <c r="D73" s="61">
        <f>(Indeks!D73/Indeks!$D$40*Indeks!$D$2)/Indeks!H73*100</f>
        <v>0.16556864874354468</v>
      </c>
      <c r="E73" s="61">
        <f>(Indeks!E73/Indeks!$E$40*Indeks!$E$2)/Indeks!H73*100</f>
        <v>8.2367911615667255E-2</v>
      </c>
      <c r="F73" s="61">
        <f>(Indeks!F73/Indeks!$F$40*Indeks!$F$2)/Indeks!H73*100</f>
        <v>8.9382366652338868E-2</v>
      </c>
      <c r="G73" s="61">
        <f>(Indeks!G73/Indeks!$G$40*Indeks!$G$2)/Indeks!H73*100</f>
        <v>2.8161147066550447E-2</v>
      </c>
      <c r="H73" s="61">
        <f>SUM(C73:G73)</f>
        <v>1.0000000000000002</v>
      </c>
    </row>
    <row r="74" spans="1:8" ht="14.1" hidden="1" customHeight="1" x14ac:dyDescent="0.2">
      <c r="A74" s="10">
        <f t="shared" si="6"/>
        <v>2010</v>
      </c>
      <c r="B74" t="s">
        <v>17</v>
      </c>
      <c r="C74" s="108">
        <f>(Indeks!C74/Indeks!$C$40*Indeks!$C$2)/Indeks!H74*100</f>
        <v>0.63068122274998295</v>
      </c>
      <c r="D74" s="108">
        <f>(Indeks!D74/Indeks!$D$40*Indeks!$D$2)/Indeks!H74*100</f>
        <v>0.16903954806345081</v>
      </c>
      <c r="E74" s="108">
        <f>(Indeks!E74/Indeks!$E$40*Indeks!$E$2)/Indeks!H74*100</f>
        <v>8.2203221202090587E-2</v>
      </c>
      <c r="F74" s="108">
        <f>(Indeks!F74/Indeks!$F$40*Indeks!$F$2)/Indeks!H74*100</f>
        <v>8.8752335326890266E-2</v>
      </c>
      <c r="G74" s="108">
        <f>(Indeks!G74/Indeks!$G$40*Indeks!$G$2)/Indeks!H74*100</f>
        <v>2.9323672657585391E-2</v>
      </c>
      <c r="H74" s="108">
        <f>SUM(C74:G74)</f>
        <v>1</v>
      </c>
    </row>
    <row r="75" spans="1:8" ht="14.1" hidden="1" customHeight="1" thickBot="1" x14ac:dyDescent="0.25">
      <c r="A75" s="30">
        <f t="shared" si="6"/>
        <v>2010</v>
      </c>
      <c r="B75" s="31" t="s">
        <v>18</v>
      </c>
      <c r="C75" s="64">
        <f>(Indeks!C75/Indeks!$C$40*Indeks!$C$2)/Indeks!H75*100</f>
        <v>0.63057982983517369</v>
      </c>
      <c r="D75" s="64">
        <f>(Indeks!D75/Indeks!$D$40*Indeks!$D$2)/Indeks!H75*100</f>
        <v>0.16465520097592828</v>
      </c>
      <c r="E75" s="64">
        <f>(Indeks!E75/Indeks!$E$40*Indeks!$E$2)/Indeks!H75*100</f>
        <v>8.2123292945603527E-2</v>
      </c>
      <c r="F75" s="64">
        <f>(Indeks!F75/Indeks!$F$40*Indeks!$F$2)/Indeks!H75*100</f>
        <v>8.8113150890167469E-2</v>
      </c>
      <c r="G75" s="64">
        <f>(Indeks!G75/Indeks!$G$40*Indeks!$G$2)/Indeks!H75*100</f>
        <v>3.4528525353127337E-2</v>
      </c>
      <c r="H75" s="64">
        <f>SUM(C75:G75)</f>
        <v>1.0000000000000004</v>
      </c>
    </row>
    <row r="76" spans="1:8" ht="14.1" hidden="1" customHeight="1" x14ac:dyDescent="0.2">
      <c r="A76" s="48">
        <v>2011</v>
      </c>
      <c r="B76" s="49" t="s">
        <v>8</v>
      </c>
      <c r="C76" s="50">
        <f>(Indeks!C76/Indeks!$C$40*Indeks!$C$2)/Indeks!H76*100</f>
        <v>0.63074833903852934</v>
      </c>
      <c r="D76" s="50">
        <f>(Indeks!D76/Indeks!$D$40*Indeks!$D$2)/Indeks!H76*100</f>
        <v>0.16766940547587081</v>
      </c>
      <c r="E76" s="50">
        <f>(Indeks!E76/Indeks!$E$40*Indeks!$E$2)/Indeks!H76*100</f>
        <v>8.1592280953906457E-2</v>
      </c>
      <c r="F76" s="50">
        <f>(Indeks!F76/Indeks!$F$40*Indeks!$F$2)/Indeks!H76*100</f>
        <v>8.6674730097388866E-2</v>
      </c>
      <c r="G76" s="50">
        <f>(Indeks!G76/Indeks!$G$40*Indeks!$G$2)/Indeks!H76*100</f>
        <v>3.3315244434304371E-2</v>
      </c>
      <c r="H76" s="50">
        <f t="shared" ref="H76:H82" si="7">SUM(C76:G76)</f>
        <v>0.99999999999999989</v>
      </c>
    </row>
    <row r="77" spans="1:8" ht="14.1" hidden="1" customHeight="1" x14ac:dyDescent="0.2">
      <c r="A77" s="10">
        <f>A76</f>
        <v>2011</v>
      </c>
      <c r="B77" t="s">
        <v>9</v>
      </c>
      <c r="C77" s="61">
        <f>(Indeks!C77/Indeks!$C$40*Indeks!$C$2)/Indeks!H77*100</f>
        <v>0.62837459570852383</v>
      </c>
      <c r="D77" s="61">
        <f>(Indeks!D77/Indeks!$D$40*Indeks!$D$2)/Indeks!H77*100</f>
        <v>0.1714610077737328</v>
      </c>
      <c r="E77" s="61">
        <f>(Indeks!E77/Indeks!$E$40*Indeks!$E$2)/Indeks!H77*100</f>
        <v>8.1351196761909605E-2</v>
      </c>
      <c r="F77" s="61">
        <f>(Indeks!F77/Indeks!$F$40*Indeks!$F$2)/Indeks!H77*100</f>
        <v>8.6701704239858735E-2</v>
      </c>
      <c r="G77" s="61">
        <f>(Indeks!G77/Indeks!$G$40*Indeks!$G$2)/Indeks!H77*100</f>
        <v>3.2111495515975134E-2</v>
      </c>
      <c r="H77" s="61">
        <f t="shared" si="7"/>
        <v>1.0000000000000002</v>
      </c>
    </row>
    <row r="78" spans="1:8" ht="14.1" hidden="1" customHeight="1" x14ac:dyDescent="0.2">
      <c r="A78" s="12">
        <f t="shared" ref="A78:A87" si="8">A77</f>
        <v>2011</v>
      </c>
      <c r="B78" s="13" t="s">
        <v>10</v>
      </c>
      <c r="C78" s="62">
        <f>(Indeks!C78/Indeks!$C$40*Indeks!$C$2)/Indeks!H78*100</f>
        <v>0.62236765834255925</v>
      </c>
      <c r="D78" s="62">
        <f>(Indeks!D78/Indeks!$D$40*Indeks!$D$2)/Indeks!H78*100</f>
        <v>0.17588699777315647</v>
      </c>
      <c r="E78" s="62">
        <f>(Indeks!E78/Indeks!$E$40*Indeks!$E$2)/Indeks!H78*100</f>
        <v>8.063886878052251E-2</v>
      </c>
      <c r="F78" s="62">
        <f>(Indeks!F78/Indeks!$F$40*Indeks!$F$2)/Indeks!H78*100</f>
        <v>8.6572456022442165E-2</v>
      </c>
      <c r="G78" s="62">
        <f>(Indeks!G78/Indeks!$G$40*Indeks!$G$2)/Indeks!H78*100</f>
        <v>3.4534019081319527E-2</v>
      </c>
      <c r="H78" s="62">
        <f t="shared" si="7"/>
        <v>0.99999999999999989</v>
      </c>
    </row>
    <row r="79" spans="1:8" ht="14.1" hidden="1" customHeight="1" x14ac:dyDescent="0.2">
      <c r="A79" s="17">
        <f t="shared" si="8"/>
        <v>2011</v>
      </c>
      <c r="B79" s="18" t="s">
        <v>11</v>
      </c>
      <c r="C79" s="63">
        <f>(Indeks!C79/Indeks!$C$40*Indeks!$C$2)/Indeks!H79*100</f>
        <v>0.62008718037125521</v>
      </c>
      <c r="D79" s="63">
        <f>(Indeks!D79/Indeks!$D$40*Indeks!$D$2)/Indeks!H79*100</f>
        <v>0.17844944693091219</v>
      </c>
      <c r="E79" s="63">
        <f>(Indeks!E79/Indeks!$E$40*Indeks!$E$2)/Indeks!H79*100</f>
        <v>8.1048494260621565E-2</v>
      </c>
      <c r="F79" s="63">
        <f>(Indeks!F79/Indeks!$F$40*Indeks!$F$2)/Indeks!H79*100</f>
        <v>8.5533062018262787E-2</v>
      </c>
      <c r="G79" s="63">
        <f>(Indeks!G79/Indeks!$G$40*Indeks!$G$2)/Indeks!H79*100</f>
        <v>3.4881816418948122E-2</v>
      </c>
      <c r="H79" s="63">
        <f t="shared" si="7"/>
        <v>1</v>
      </c>
    </row>
    <row r="80" spans="1:8" ht="14.1" hidden="1" customHeight="1" x14ac:dyDescent="0.2">
      <c r="A80" s="10">
        <f t="shared" si="8"/>
        <v>2011</v>
      </c>
      <c r="B80" t="s">
        <v>12</v>
      </c>
      <c r="C80" s="61">
        <f>(Indeks!C80/Indeks!$C$40*Indeks!$C$2)/Indeks!H80*100</f>
        <v>0.61646412078338741</v>
      </c>
      <c r="D80" s="61">
        <f>(Indeks!D80/Indeks!$D$40*Indeks!$D$2)/Indeks!H80*100</f>
        <v>0.18150933062619778</v>
      </c>
      <c r="E80" s="61">
        <f>(Indeks!E80/Indeks!$E$40*Indeks!$E$2)/Indeks!H80*100</f>
        <v>8.1026523202400641E-2</v>
      </c>
      <c r="F80" s="61">
        <f>(Indeks!F80/Indeks!$F$40*Indeks!$F$2)/Indeks!H80*100</f>
        <v>8.5033307483361062E-2</v>
      </c>
      <c r="G80" s="61">
        <f>(Indeks!G80/Indeks!$G$40*Indeks!$G$2)/Indeks!H80*100</f>
        <v>3.5966717904652924E-2</v>
      </c>
      <c r="H80" s="61">
        <f t="shared" si="7"/>
        <v>0.99999999999999978</v>
      </c>
    </row>
    <row r="81" spans="1:8" ht="14.1" hidden="1" customHeight="1" x14ac:dyDescent="0.2">
      <c r="A81" s="12">
        <f t="shared" si="8"/>
        <v>2011</v>
      </c>
      <c r="B81" s="13" t="s">
        <v>13</v>
      </c>
      <c r="C81" s="62">
        <f>(Indeks!C81/Indeks!$C$40*Indeks!$C$2)/Indeks!H81*100</f>
        <v>0.61326393213042252</v>
      </c>
      <c r="D81" s="62">
        <f>(Indeks!D81/Indeks!$D$40*Indeks!$D$2)/Indeks!H81*100</f>
        <v>0.18685438755687794</v>
      </c>
      <c r="E81" s="62">
        <f>(Indeks!E81/Indeks!$E$40*Indeks!$E$2)/Indeks!H81*100</f>
        <v>8.092678165391369E-2</v>
      </c>
      <c r="F81" s="62">
        <f>(Indeks!F81/Indeks!$F$40*Indeks!$F$2)/Indeks!H81*100</f>
        <v>8.3990721975758437E-2</v>
      </c>
      <c r="G81" s="62">
        <f>(Indeks!G81/Indeks!$G$40*Indeks!$G$2)/Indeks!H81*100</f>
        <v>3.4964176683027218E-2</v>
      </c>
      <c r="H81" s="62">
        <f t="shared" si="7"/>
        <v>0.99999999999999978</v>
      </c>
    </row>
    <row r="82" spans="1:8" ht="14.1" hidden="1" customHeight="1" x14ac:dyDescent="0.2">
      <c r="A82" s="17">
        <f t="shared" si="8"/>
        <v>2011</v>
      </c>
      <c r="B82" s="22" t="s">
        <v>30</v>
      </c>
      <c r="C82" s="63">
        <f>(Indeks!C82/Indeks!$C$40*Indeks!$C$2)/Indeks!H82*100</f>
        <v>0.61989566283332664</v>
      </c>
      <c r="D82" s="63">
        <f>(Indeks!D82/Indeks!$D$40*Indeks!$D$2)/Indeks!H82*100</f>
        <v>0.18138825243294232</v>
      </c>
      <c r="E82" s="63">
        <f>(Indeks!E82/Indeks!$E$40*Indeks!$E$2)/Indeks!H82*100</f>
        <v>8.1523354020904049E-2</v>
      </c>
      <c r="F82" s="63">
        <f>(Indeks!F82/Indeks!$F$40*Indeks!$F$2)/Indeks!H82*100</f>
        <v>8.3784889170737481E-2</v>
      </c>
      <c r="G82" s="63">
        <f>(Indeks!G82/Indeks!$G$40*Indeks!$G$2)/Indeks!H82*100</f>
        <v>3.340784154208943E-2</v>
      </c>
      <c r="H82" s="63">
        <f t="shared" si="7"/>
        <v>0.99999999999999989</v>
      </c>
    </row>
    <row r="83" spans="1:8" ht="14.1" hidden="1" customHeight="1" x14ac:dyDescent="0.2">
      <c r="A83" s="10">
        <f t="shared" si="8"/>
        <v>2011</v>
      </c>
      <c r="B83" t="s">
        <v>14</v>
      </c>
      <c r="C83" s="61">
        <f>(Indeks!C83/Indeks!$C$40*Indeks!$C$2)/Indeks!H83*100</f>
        <v>0.61717723468225494</v>
      </c>
      <c r="D83" s="61">
        <f>(Indeks!D83/Indeks!$D$40*Indeks!$D$2)/Indeks!H83*100</f>
        <v>0.184790074717052</v>
      </c>
      <c r="E83" s="61">
        <f>(Indeks!E83/Indeks!$E$40*Indeks!$E$2)/Indeks!H83*100</f>
        <v>8.0973056703706303E-2</v>
      </c>
      <c r="F83" s="61">
        <f>(Indeks!F83/Indeks!$F$40*Indeks!$F$2)/Indeks!H83*100</f>
        <v>8.3331469947683326E-2</v>
      </c>
      <c r="G83" s="61">
        <f>(Indeks!G83/Indeks!$G$40*Indeks!$G$2)/Indeks!H83*100</f>
        <v>3.3728163949303246E-2</v>
      </c>
      <c r="H83" s="61">
        <f>SUM(C83:G83)</f>
        <v>0.99999999999999989</v>
      </c>
    </row>
    <row r="84" spans="1:8" ht="14.1" hidden="1" customHeight="1" x14ac:dyDescent="0.2">
      <c r="A84" s="12">
        <f t="shared" si="8"/>
        <v>2011</v>
      </c>
      <c r="B84" s="13" t="s">
        <v>15</v>
      </c>
      <c r="C84" s="66">
        <f>(Indeks!C84/Indeks!$C$40*Indeks!$C$2)/Indeks!H84*100</f>
        <v>0.61751779655572803</v>
      </c>
      <c r="D84" s="66">
        <f>(Indeks!D84/Indeks!$D$40*Indeks!$D$2)/Indeks!H84*100</f>
        <v>0.1868813177400809</v>
      </c>
      <c r="E84" s="66">
        <f>(Indeks!E84/Indeks!$E$40*Indeks!$E$2)/Indeks!H84*100</f>
        <v>8.0953438300224514E-2</v>
      </c>
      <c r="F84" s="66">
        <f>(Indeks!F84/Indeks!$F$40*Indeks!$F$2)/Indeks!H84*100</f>
        <v>8.3119318193495537E-2</v>
      </c>
      <c r="G84" s="66">
        <f>(Indeks!G84/Indeks!$G$40*Indeks!$G$2)/Indeks!H84*100</f>
        <v>3.1528129210470796E-2</v>
      </c>
      <c r="H84" s="66">
        <f>SUM(C84:G84)</f>
        <v>0.99999999999999967</v>
      </c>
    </row>
    <row r="85" spans="1:8" ht="14.1" hidden="1" customHeight="1" x14ac:dyDescent="0.2">
      <c r="A85" s="10">
        <f t="shared" si="8"/>
        <v>2011</v>
      </c>
      <c r="B85" t="s">
        <v>16</v>
      </c>
      <c r="C85" s="108">
        <f>(Indeks!C85/Indeks!$C$40*Indeks!$C$2)/Indeks!H85*100</f>
        <v>0.62284029196693758</v>
      </c>
      <c r="D85" s="108">
        <f>(Indeks!D85/Indeks!$D$40*Indeks!$D$2)/Indeks!H85*100</f>
        <v>0.18364618365111945</v>
      </c>
      <c r="E85" s="108">
        <f>(Indeks!E85/Indeks!$E$40*Indeks!$E$2)/Indeks!H85*100</f>
        <v>8.1380822162858746E-2</v>
      </c>
      <c r="F85" s="108">
        <f>(Indeks!F85/Indeks!$F$40*Indeks!$F$2)/Indeks!H85*100</f>
        <v>8.4077131193429439E-2</v>
      </c>
      <c r="G85" s="108">
        <f>(Indeks!G85/Indeks!$G$40*Indeks!$G$2)/Indeks!H85*100</f>
        <v>2.8055571025654702E-2</v>
      </c>
      <c r="H85" s="108">
        <f>SUM(C85:G85)</f>
        <v>0.99999999999999978</v>
      </c>
    </row>
    <row r="86" spans="1:8" ht="14.1" hidden="1" customHeight="1" x14ac:dyDescent="0.2">
      <c r="A86" s="10">
        <f t="shared" si="8"/>
        <v>2011</v>
      </c>
      <c r="B86" t="s">
        <v>17</v>
      </c>
      <c r="C86" s="61">
        <f>(Indeks!C86/Indeks!$C$40*Indeks!$C$2)/Indeks!H86*100</f>
        <v>0.62208975796637833</v>
      </c>
      <c r="D86" s="61">
        <f>(Indeks!D86/Indeks!$D$40*Indeks!$D$2)/Indeks!H86*100</f>
        <v>0.18697576162229568</v>
      </c>
      <c r="E86" s="61">
        <f>(Indeks!E86/Indeks!$E$40*Indeks!$E$2)/Indeks!H86*100</f>
        <v>8.1541002230663101E-2</v>
      </c>
      <c r="F86" s="61">
        <f>(Indeks!F86/Indeks!$F$40*Indeks!$F$2)/Indeks!H86*100</f>
        <v>8.3716632085418019E-2</v>
      </c>
      <c r="G86" s="61">
        <f>(Indeks!G86/Indeks!$G$40*Indeks!$G$2)/Indeks!H86*100</f>
        <v>2.567684609524477E-2</v>
      </c>
      <c r="H86" s="61">
        <f>SUM(C86:G86)</f>
        <v>0.99999999999999989</v>
      </c>
    </row>
    <row r="87" spans="1:8" ht="14.1" hidden="1" customHeight="1" thickBot="1" x14ac:dyDescent="0.25">
      <c r="A87" s="30">
        <f t="shared" si="8"/>
        <v>2011</v>
      </c>
      <c r="B87" s="31" t="s">
        <v>18</v>
      </c>
      <c r="C87" s="64">
        <f>(Indeks!C87/Indeks!$C$40*Indeks!$C$2)/Indeks!H87*100</f>
        <v>0.61794212442492802</v>
      </c>
      <c r="D87" s="64">
        <f>(Indeks!D87/Indeks!$D$40*Indeks!$D$2)/Indeks!H87*100</f>
        <v>0.1871620709520937</v>
      </c>
      <c r="E87" s="64">
        <f>(Indeks!E87/Indeks!$E$40*Indeks!$E$2)/Indeks!H87*100</f>
        <v>8.1125609081708461E-2</v>
      </c>
      <c r="F87" s="64">
        <f>(Indeks!F87/Indeks!$F$40*Indeks!$F$2)/Indeks!H87*100</f>
        <v>8.418829789006449E-2</v>
      </c>
      <c r="G87" s="64">
        <f>(Indeks!G87/Indeks!$G$40*Indeks!$G$2)/Indeks!H87*100</f>
        <v>2.9581897651205422E-2</v>
      </c>
      <c r="H87" s="64">
        <f>SUM(C87:G87)</f>
        <v>1.0000000000000002</v>
      </c>
    </row>
    <row r="88" spans="1:8" ht="15" hidden="1" customHeight="1" x14ac:dyDescent="0.2">
      <c r="A88" s="48">
        <v>2012</v>
      </c>
      <c r="B88" s="49" t="s">
        <v>8</v>
      </c>
      <c r="C88" s="50">
        <f>(Indeks!C88/Indeks!$C$40*Indeks!$C$2)/Indeks!H88*100</f>
        <v>0.61886439382863734</v>
      </c>
      <c r="D88" s="50">
        <f>(Indeks!D88/Indeks!$D$40*Indeks!$D$2)/Indeks!H88*100</f>
        <v>0.19084628270252729</v>
      </c>
      <c r="E88" s="50">
        <f>(Indeks!E88/Indeks!$E$40*Indeks!$E$2)/Indeks!H88*100</f>
        <v>8.0847826170421286E-2</v>
      </c>
      <c r="F88" s="50">
        <f>(Indeks!F88/Indeks!$F$40*Indeks!$F$2)/Indeks!H88*100</f>
        <v>8.3538441277316342E-2</v>
      </c>
      <c r="G88" s="50">
        <f>(Indeks!G88/Indeks!$G$40*Indeks!$G$2)/Indeks!H88*100</f>
        <v>2.5903056021097735E-2</v>
      </c>
      <c r="H88" s="50">
        <f t="shared" ref="H88:H94" si="9">SUM(C88:G88)</f>
        <v>1</v>
      </c>
    </row>
    <row r="89" spans="1:8" ht="15" hidden="1" customHeight="1" x14ac:dyDescent="0.2">
      <c r="A89" s="10">
        <f>A88</f>
        <v>2012</v>
      </c>
      <c r="B89" t="s">
        <v>9</v>
      </c>
      <c r="C89" s="61">
        <f>(Indeks!C89/Indeks!$C$40*Indeks!$C$2)/Indeks!H89*100</f>
        <v>0.62384258931639425</v>
      </c>
      <c r="D89" s="61">
        <f>(Indeks!D89/Indeks!$D$40*Indeks!$D$2)/Indeks!H89*100</f>
        <v>0.18794871304713759</v>
      </c>
      <c r="E89" s="61">
        <f>(Indeks!E89/Indeks!$E$40*Indeks!$E$2)/Indeks!H89*100</f>
        <v>8.1498172655774248E-2</v>
      </c>
      <c r="F89" s="61">
        <f>(Indeks!F89/Indeks!$F$40*Indeks!$F$2)/Indeks!H89*100</f>
        <v>8.4814399546491046E-2</v>
      </c>
      <c r="G89" s="61">
        <f>(Indeks!G89/Indeks!$G$40*Indeks!$G$2)/Indeks!H89*100</f>
        <v>2.1896125434202843E-2</v>
      </c>
      <c r="H89" s="61">
        <f t="shared" si="9"/>
        <v>1</v>
      </c>
    </row>
    <row r="90" spans="1:8" ht="15" hidden="1" customHeight="1" x14ac:dyDescent="0.2">
      <c r="A90" s="12">
        <f t="shared" ref="A90:A99" si="10">A89</f>
        <v>2012</v>
      </c>
      <c r="B90" s="13" t="s">
        <v>10</v>
      </c>
      <c r="C90" s="62">
        <f>(Indeks!C90/Indeks!$C$40*Indeks!$C$2)/Indeks!H90*100</f>
        <v>0.61884311096231148</v>
      </c>
      <c r="D90" s="62">
        <f>(Indeks!D90/Indeks!$D$40*Indeks!$D$2)/Indeks!H90*100</f>
        <v>0.19226881874359908</v>
      </c>
      <c r="E90" s="62">
        <f>(Indeks!E90/Indeks!$E$40*Indeks!$E$2)/Indeks!H90*100</f>
        <v>8.1100884550551242E-2</v>
      </c>
      <c r="F90" s="62">
        <f>(Indeks!F90/Indeks!$F$40*Indeks!$F$2)/Indeks!H90*100</f>
        <v>8.49050039212636E-2</v>
      </c>
      <c r="G90" s="62">
        <f>(Indeks!G90/Indeks!$G$40*Indeks!$G$2)/Indeks!H90*100</f>
        <v>2.2882181822274566E-2</v>
      </c>
      <c r="H90" s="62">
        <f t="shared" si="9"/>
        <v>0.99999999999999989</v>
      </c>
    </row>
    <row r="91" spans="1:8" hidden="1" x14ac:dyDescent="0.2">
      <c r="A91" s="17">
        <f t="shared" si="10"/>
        <v>2012</v>
      </c>
      <c r="B91" s="18" t="s">
        <v>11</v>
      </c>
      <c r="C91" s="63">
        <f>(Indeks!C91/Indeks!$C$40*Indeks!$C$2)/Indeks!H91*100</f>
        <v>0.61742294049348689</v>
      </c>
      <c r="D91" s="63">
        <f>(Indeks!D91/Indeks!$D$40*Indeks!$D$2)/Indeks!H91*100</f>
        <v>0.19340368473055353</v>
      </c>
      <c r="E91" s="63">
        <f>(Indeks!E91/Indeks!$E$40*Indeks!$E$2)/Indeks!H91*100</f>
        <v>8.1398930583446716E-2</v>
      </c>
      <c r="F91" s="63">
        <f>(Indeks!F91/Indeks!$F$40*Indeks!$F$2)/Indeks!H91*100</f>
        <v>8.4748972292622501E-2</v>
      </c>
      <c r="G91" s="63">
        <f>(Indeks!G91/Indeks!$G$40*Indeks!$G$2)/Indeks!H91*100</f>
        <v>2.3025471899890515E-2</v>
      </c>
      <c r="H91" s="63">
        <f t="shared" si="9"/>
        <v>1</v>
      </c>
    </row>
    <row r="92" spans="1:8" hidden="1" x14ac:dyDescent="0.2">
      <c r="A92" s="10">
        <f t="shared" si="10"/>
        <v>2012</v>
      </c>
      <c r="B92" t="s">
        <v>12</v>
      </c>
      <c r="C92" s="61">
        <f>(Indeks!C92/Indeks!$C$40*Indeks!$C$2)/Indeks!H92*100</f>
        <v>0.61584738343879686</v>
      </c>
      <c r="D92" s="61">
        <f>(Indeks!D92/Indeks!$D$40*Indeks!$D$2)/Indeks!H92*100</f>
        <v>0.19627928686749202</v>
      </c>
      <c r="E92" s="61">
        <f>(Indeks!E92/Indeks!$E$40*Indeks!$E$2)/Indeks!H92*100</f>
        <v>8.1570612724152544E-2</v>
      </c>
      <c r="F92" s="61">
        <f>(Indeks!F92/Indeks!$F$40*Indeks!$F$2)/Indeks!H92*100</f>
        <v>8.4025003555901451E-2</v>
      </c>
      <c r="G92" s="61">
        <f>(Indeks!G92/Indeks!$G$40*Indeks!$G$2)/Indeks!H92*100</f>
        <v>2.2277713413657134E-2</v>
      </c>
      <c r="H92" s="61">
        <f t="shared" si="9"/>
        <v>1</v>
      </c>
    </row>
    <row r="93" spans="1:8" hidden="1" x14ac:dyDescent="0.2">
      <c r="A93" s="12">
        <f t="shared" si="10"/>
        <v>2012</v>
      </c>
      <c r="B93" s="13" t="s">
        <v>13</v>
      </c>
      <c r="C93" s="62">
        <f>(Indeks!C93/Indeks!$C$40*Indeks!$C$2)/Indeks!H93*100</f>
        <v>0.61812090162755817</v>
      </c>
      <c r="D93" s="62">
        <f>(Indeks!D93/Indeks!$D$40*Indeks!$D$2)/Indeks!H93*100</f>
        <v>0.19438589744233437</v>
      </c>
      <c r="E93" s="62">
        <f>(Indeks!E93/Indeks!$E$40*Indeks!$E$2)/Indeks!H93*100</f>
        <v>8.1871746213851279E-2</v>
      </c>
      <c r="F93" s="62">
        <f>(Indeks!F93/Indeks!$F$40*Indeks!$F$2)/Indeks!H93*100</f>
        <v>8.4759846427122809E-2</v>
      </c>
      <c r="G93" s="62">
        <f>(Indeks!G93/Indeks!$G$40*Indeks!$G$2)/Indeks!H93*100</f>
        <v>2.0861608289133492E-2</v>
      </c>
      <c r="H93" s="62">
        <f t="shared" si="9"/>
        <v>1.0000000000000002</v>
      </c>
    </row>
    <row r="94" spans="1:8" hidden="1" x14ac:dyDescent="0.2">
      <c r="A94" s="17">
        <f t="shared" si="10"/>
        <v>2012</v>
      </c>
      <c r="B94" s="22" t="s">
        <v>30</v>
      </c>
      <c r="C94" s="63">
        <f>(Indeks!C94/Indeks!$C$40*Indeks!$C$2)/Indeks!H94*100</f>
        <v>0.62418458151484035</v>
      </c>
      <c r="D94" s="63">
        <f>(Indeks!D94/Indeks!$D$40*Indeks!$D$2)/Indeks!H94*100</f>
        <v>0.19055558132770262</v>
      </c>
      <c r="E94" s="63">
        <f>(Indeks!E94/Indeks!$E$40*Indeks!$E$2)/Indeks!H94*100</f>
        <v>8.2337723318234829E-2</v>
      </c>
      <c r="F94" s="63">
        <f>(Indeks!F94/Indeks!$F$40*Indeks!$F$2)/Indeks!H94*100</f>
        <v>8.5071435122174729E-2</v>
      </c>
      <c r="G94" s="63">
        <f>(Indeks!G94/Indeks!$G$40*Indeks!$G$2)/Indeks!H94*100</f>
        <v>1.7850678717047472E-2</v>
      </c>
      <c r="H94" s="63">
        <f t="shared" si="9"/>
        <v>1</v>
      </c>
    </row>
    <row r="95" spans="1:8" hidden="1" x14ac:dyDescent="0.2">
      <c r="A95" s="10">
        <f t="shared" si="10"/>
        <v>2012</v>
      </c>
      <c r="B95" t="s">
        <v>14</v>
      </c>
      <c r="C95" s="61">
        <f>(Indeks!C95/Indeks!$C$40*Indeks!$C$2)/Indeks!H95*100</f>
        <v>0.62650059438472649</v>
      </c>
      <c r="D95" s="61">
        <f>(Indeks!D95/Indeks!$D$40*Indeks!$D$2)/Indeks!H95*100</f>
        <v>0.18531664196696432</v>
      </c>
      <c r="E95" s="61">
        <f>(Indeks!E95/Indeks!$E$40*Indeks!$E$2)/Indeks!H95*100</f>
        <v>8.2515105226709892E-2</v>
      </c>
      <c r="F95" s="61">
        <f>(Indeks!F95/Indeks!$F$40*Indeks!$F$2)/Indeks!H95*100</f>
        <v>8.6587309540730684E-2</v>
      </c>
      <c r="G95" s="61">
        <f>(Indeks!G95/Indeks!$G$40*Indeks!$G$2)/Indeks!H95*100</f>
        <v>1.9080348880868622E-2</v>
      </c>
      <c r="H95" s="61">
        <f>SUM(C95:G95)</f>
        <v>1</v>
      </c>
    </row>
    <row r="96" spans="1:8" hidden="1" x14ac:dyDescent="0.2">
      <c r="A96" s="12">
        <f t="shared" si="10"/>
        <v>2012</v>
      </c>
      <c r="B96" s="13" t="s">
        <v>15</v>
      </c>
      <c r="C96" s="66">
        <f>(Indeks!C96/Indeks!$C$40*Indeks!$C$2)/Indeks!H96*100</f>
        <v>0.6230261445603491</v>
      </c>
      <c r="D96" s="66">
        <f>(Indeks!D96/Indeks!$D$40*Indeks!$D$2)/Indeks!H96*100</f>
        <v>0.19206342948239749</v>
      </c>
      <c r="E96" s="66">
        <f>(Indeks!E96/Indeks!$E$40*Indeks!$E$2)/Indeks!H96*100</f>
        <v>8.2057492583668457E-2</v>
      </c>
      <c r="F96" s="66">
        <f>(Indeks!F96/Indeks!$F$40*Indeks!$F$2)/Indeks!H96*100</f>
        <v>8.6192367816195395E-2</v>
      </c>
      <c r="G96" s="66">
        <f>(Indeks!G96/Indeks!$G$40*Indeks!$G$2)/Indeks!H96*100</f>
        <v>1.6660565557389616E-2</v>
      </c>
      <c r="H96" s="66">
        <f>SUM(C96:G96)</f>
        <v>1.0000000000000002</v>
      </c>
    </row>
    <row r="97" spans="1:8" hidden="1" x14ac:dyDescent="0.2">
      <c r="A97" s="10">
        <f t="shared" si="10"/>
        <v>2012</v>
      </c>
      <c r="B97" t="s">
        <v>16</v>
      </c>
      <c r="C97" s="61">
        <f>(Indeks!C97/Indeks!$C$40*Indeks!$C$2)/Indeks!H97*100</f>
        <v>0.61941861263554587</v>
      </c>
      <c r="D97" s="61">
        <f>(Indeks!D97/Indeks!$D$40*Indeks!$D$2)/Indeks!H97*100</f>
        <v>0.19596607753928369</v>
      </c>
      <c r="E97" s="61">
        <f>(Indeks!E97/Indeks!$E$40*Indeks!$E$2)/Indeks!H97*100</f>
        <v>8.1702430391611416E-2</v>
      </c>
      <c r="F97" s="61">
        <f>(Indeks!F97/Indeks!$F$40*Indeks!$F$2)/Indeks!H97*100</f>
        <v>8.6146079341875584E-2</v>
      </c>
      <c r="G97" s="61">
        <f>(Indeks!G97/Indeks!$G$40*Indeks!$G$2)/Indeks!H97*100</f>
        <v>1.6766800091683496E-2</v>
      </c>
      <c r="H97" s="61">
        <f>SUM(C97:G97)</f>
        <v>1</v>
      </c>
    </row>
    <row r="98" spans="1:8" hidden="1" x14ac:dyDescent="0.2">
      <c r="A98" s="10">
        <f t="shared" si="10"/>
        <v>2012</v>
      </c>
      <c r="B98" t="s">
        <v>17</v>
      </c>
      <c r="C98" s="61">
        <f>(Indeks!C98/Indeks!$C$40*Indeks!$C$2)/Indeks!H98*100</f>
        <v>0.61880764737463123</v>
      </c>
      <c r="D98" s="61">
        <f>(Indeks!D98/Indeks!$D$40*Indeks!$D$2)/Indeks!H98*100</f>
        <v>0.1959899492356221</v>
      </c>
      <c r="E98" s="61">
        <f>(Indeks!E98/Indeks!$E$40*Indeks!$E$2)/Indeks!H98*100</f>
        <v>8.1811367376723038E-2</v>
      </c>
      <c r="F98" s="61">
        <f>(Indeks!F98/Indeks!$F$40*Indeks!$F$2)/Indeks!H98*100</f>
        <v>8.5722951319478241E-2</v>
      </c>
      <c r="G98" s="61">
        <f>(Indeks!G98/Indeks!$G$40*Indeks!$G$2)/Indeks!H98*100</f>
        <v>1.7668084693545239E-2</v>
      </c>
      <c r="H98" s="61">
        <f>SUM(C98:G98)</f>
        <v>0.99999999999999978</v>
      </c>
    </row>
    <row r="99" spans="1:8" hidden="1" x14ac:dyDescent="0.2">
      <c r="A99" s="10">
        <f t="shared" si="10"/>
        <v>2012</v>
      </c>
      <c r="B99" t="s">
        <v>18</v>
      </c>
      <c r="C99" s="61">
        <f>(Indeks!C99/Indeks!$C$40*Indeks!$C$2)/Indeks!H99*100</f>
        <v>0.61839491063938057</v>
      </c>
      <c r="D99" s="61">
        <f>(Indeks!D99/Indeks!$D$40*Indeks!$D$2)/Indeks!H99*100</f>
        <v>0.19585922646234571</v>
      </c>
      <c r="E99" s="61">
        <f>(Indeks!E99/Indeks!$E$40*Indeks!$E$2)/Indeks!H99*100</f>
        <v>8.1693667583508545E-2</v>
      </c>
      <c r="F99" s="61">
        <f>(Indeks!F99/Indeks!$F$40*Indeks!$F$2)/Indeks!H99*100</f>
        <v>8.4905428097121802E-2</v>
      </c>
      <c r="G99" s="61">
        <f>(Indeks!G99/Indeks!$G$40*Indeks!$G$2)/Indeks!H99*100</f>
        <v>1.9146767217643409E-2</v>
      </c>
      <c r="H99" s="61">
        <f>SUM(C99:G99)</f>
        <v>0.99999999999999989</v>
      </c>
    </row>
    <row r="100" spans="1:8" hidden="1" x14ac:dyDescent="0.2">
      <c r="A100" s="48">
        <v>2013</v>
      </c>
      <c r="B100" s="49" t="s">
        <v>8</v>
      </c>
      <c r="C100" s="50">
        <f>(Indeks!C100/Indeks!$C$40*Indeks!$C$2)/Indeks!H100*100</f>
        <v>0.62673974944776323</v>
      </c>
      <c r="D100" s="50">
        <f>(Indeks!D100/Indeks!$D$40*Indeks!$D$2)/Indeks!H100*100</f>
        <v>0.1899563927971917</v>
      </c>
      <c r="E100" s="50">
        <f>(Indeks!E100/Indeks!$E$40*Indeks!$E$2)/Indeks!H100*100</f>
        <v>8.1705241523744504E-2</v>
      </c>
      <c r="F100" s="50">
        <f>(Indeks!F100/Indeks!$F$40*Indeks!$F$2)/Indeks!H100*100</f>
        <v>8.4729450826740646E-2</v>
      </c>
      <c r="G100" s="50">
        <f>(Indeks!G100/Indeks!$G$40*Indeks!$G$2)/Indeks!H100*100</f>
        <v>1.6869165404559825E-2</v>
      </c>
      <c r="H100" s="50">
        <f t="shared" ref="H100:H106" si="11">SUM(C100:G100)</f>
        <v>0.99999999999999989</v>
      </c>
    </row>
    <row r="101" spans="1:8" hidden="1" x14ac:dyDescent="0.2">
      <c r="A101" s="10">
        <f>A100</f>
        <v>2013</v>
      </c>
      <c r="B101" t="s">
        <v>9</v>
      </c>
      <c r="C101" s="61">
        <f>(Indeks!C101/Indeks!$C$40*Indeks!$C$2)/Indeks!H101*100</f>
        <v>0.62985944705320673</v>
      </c>
      <c r="D101" s="61">
        <f>(Indeks!D101/Indeks!$D$40*Indeks!$D$2)/Indeks!H101*100</f>
        <v>0.18609936689631509</v>
      </c>
      <c r="E101" s="61">
        <f>(Indeks!E101/Indeks!$E$40*Indeks!$E$2)/Indeks!H101*100</f>
        <v>8.1857922535208821E-2</v>
      </c>
      <c r="F101" s="61">
        <f>(Indeks!F101/Indeks!$F$40*Indeks!$F$2)/Indeks!H101*100</f>
        <v>8.5576111469102212E-2</v>
      </c>
      <c r="G101" s="61">
        <f>(Indeks!G101/Indeks!$G$40*Indeks!$G$2)/Indeks!H101*100</f>
        <v>1.6607152046167042E-2</v>
      </c>
      <c r="H101" s="61">
        <f t="shared" si="11"/>
        <v>1</v>
      </c>
    </row>
    <row r="102" spans="1:8" hidden="1" x14ac:dyDescent="0.2">
      <c r="A102" s="12">
        <f t="shared" ref="A102:A111" si="12">A101</f>
        <v>2013</v>
      </c>
      <c r="B102" s="13" t="s">
        <v>10</v>
      </c>
      <c r="C102" s="62">
        <f>(Indeks!C102/Indeks!$C$40*Indeks!$C$2)/Indeks!H102*100</f>
        <v>0.62847630806785393</v>
      </c>
      <c r="D102" s="62">
        <f>(Indeks!D102/Indeks!$D$40*Indeks!$D$2)/Indeks!H102*100</f>
        <v>0.18634415926457176</v>
      </c>
      <c r="E102" s="62">
        <f>(Indeks!E102/Indeks!$E$40*Indeks!$E$2)/Indeks!H102*100</f>
        <v>8.136133909848281E-2</v>
      </c>
      <c r="F102" s="62">
        <f>(Indeks!F102/Indeks!$F$40*Indeks!$F$2)/Indeks!H102*100</f>
        <v>8.4370655185051574E-2</v>
      </c>
      <c r="G102" s="62">
        <f>(Indeks!G102/Indeks!$G$40*Indeks!$G$2)/Indeks!H102*100</f>
        <v>1.9447538384040085E-2</v>
      </c>
      <c r="H102" s="62">
        <f t="shared" si="11"/>
        <v>1.0000000000000002</v>
      </c>
    </row>
    <row r="103" spans="1:8" hidden="1" x14ac:dyDescent="0.2">
      <c r="A103" s="17">
        <f t="shared" si="12"/>
        <v>2013</v>
      </c>
      <c r="B103" s="18" t="s">
        <v>11</v>
      </c>
      <c r="C103" s="63">
        <f>(Indeks!C103/Indeks!$C$40*Indeks!$C$2)/Indeks!H103*100</f>
        <v>0.62767780186341648</v>
      </c>
      <c r="D103" s="63">
        <f>(Indeks!D103/Indeks!$D$40*Indeks!$D$2)/Indeks!H103*100</f>
        <v>0.1888849777138025</v>
      </c>
      <c r="E103" s="63">
        <f>(Indeks!E103/Indeks!$E$40*Indeks!$E$2)/Indeks!H103*100</f>
        <v>8.1808499646859531E-2</v>
      </c>
      <c r="F103" s="63">
        <f>(Indeks!F103/Indeks!$F$40*Indeks!$F$2)/Indeks!H103*100</f>
        <v>8.4015658681486333E-2</v>
      </c>
      <c r="G103" s="63">
        <f>(Indeks!G103/Indeks!$G$40*Indeks!$G$2)/Indeks!H103*100</f>
        <v>1.7613062094435129E-2</v>
      </c>
      <c r="H103" s="63">
        <f t="shared" si="11"/>
        <v>1</v>
      </c>
    </row>
    <row r="104" spans="1:8" hidden="1" x14ac:dyDescent="0.2">
      <c r="A104" s="10">
        <f t="shared" si="12"/>
        <v>2013</v>
      </c>
      <c r="B104" t="s">
        <v>12</v>
      </c>
      <c r="C104" s="61">
        <f>(Indeks!C104/Indeks!$C$40*Indeks!$C$2)/Indeks!H104*100</f>
        <v>0.63058930350879339</v>
      </c>
      <c r="D104" s="61">
        <f>(Indeks!D104/Indeks!$D$40*Indeks!$D$2)/Indeks!H104*100</f>
        <v>0.18606377469315097</v>
      </c>
      <c r="E104" s="61">
        <f>(Indeks!E104/Indeks!$E$40*Indeks!$E$2)/Indeks!H104*100</f>
        <v>8.2357897312013428E-2</v>
      </c>
      <c r="F104" s="61">
        <f>(Indeks!F104/Indeks!$F$40*Indeks!$F$2)/Indeks!H104*100</f>
        <v>8.432837309042901E-2</v>
      </c>
      <c r="G104" s="61">
        <f>(Indeks!G104/Indeks!$G$40*Indeks!$G$2)/Indeks!H104*100</f>
        <v>1.6660651395613135E-2</v>
      </c>
      <c r="H104" s="61">
        <f t="shared" si="11"/>
        <v>0.99999999999999978</v>
      </c>
    </row>
    <row r="105" spans="1:8" hidden="1" x14ac:dyDescent="0.2">
      <c r="A105" s="12">
        <f t="shared" si="12"/>
        <v>2013</v>
      </c>
      <c r="B105" s="13" t="s">
        <v>13</v>
      </c>
      <c r="C105" s="62">
        <f>(Indeks!C105/Indeks!$C$40*Indeks!$C$2)/Indeks!H105*100</f>
        <v>0.63568073933128288</v>
      </c>
      <c r="D105" s="62">
        <f>(Indeks!D105/Indeks!$D$40*Indeks!$D$2)/Indeks!H105*100</f>
        <v>0.18022128589475675</v>
      </c>
      <c r="E105" s="62">
        <f>(Indeks!E105/Indeks!$E$40*Indeks!$E$2)/Indeks!H105*100</f>
        <v>8.2915344981440847E-2</v>
      </c>
      <c r="F105" s="62">
        <f>(Indeks!F105/Indeks!$F$40*Indeks!$F$2)/Indeks!H105*100</f>
        <v>8.5777403958794254E-2</v>
      </c>
      <c r="G105" s="62">
        <f>(Indeks!G105/Indeks!$G$40*Indeks!$G$2)/Indeks!H105*100</f>
        <v>1.540522583372525E-2</v>
      </c>
      <c r="H105" s="62">
        <f t="shared" si="11"/>
        <v>1</v>
      </c>
    </row>
    <row r="106" spans="1:8" hidden="1" x14ac:dyDescent="0.2">
      <c r="A106" s="17">
        <f t="shared" si="12"/>
        <v>2013</v>
      </c>
      <c r="B106" s="22" t="s">
        <v>30</v>
      </c>
      <c r="C106" s="63">
        <f>(Indeks!C106/Indeks!$C$40*Indeks!$C$2)/Indeks!H106*100</f>
        <v>0.63533334665443986</v>
      </c>
      <c r="D106" s="63">
        <f>(Indeks!D106/Indeks!$D$40*Indeks!$D$2)/Indeks!H106*100</f>
        <v>0.18096196160667405</v>
      </c>
      <c r="E106" s="63">
        <f>(Indeks!E106/Indeks!$E$40*Indeks!$E$2)/Indeks!H106*100</f>
        <v>8.2666466073506931E-2</v>
      </c>
      <c r="F106" s="63">
        <f>(Indeks!F106/Indeks!$F$40*Indeks!$F$2)/Indeks!H106*100</f>
        <v>8.511408406716954E-2</v>
      </c>
      <c r="G106" s="63">
        <f>(Indeks!G106/Indeks!$G$40*Indeks!$G$2)/Indeks!H106*100</f>
        <v>1.5924141598209735E-2</v>
      </c>
      <c r="H106" s="63">
        <f t="shared" si="11"/>
        <v>1.0000000000000002</v>
      </c>
    </row>
    <row r="107" spans="1:8" hidden="1" x14ac:dyDescent="0.2">
      <c r="A107" s="10">
        <f t="shared" si="12"/>
        <v>2013</v>
      </c>
      <c r="B107" t="s">
        <v>14</v>
      </c>
      <c r="C107" s="61">
        <f>(Indeks!C107/Indeks!$C$40*Indeks!$C$2)/Indeks!H107*100</f>
        <v>0.63427935963360171</v>
      </c>
      <c r="D107" s="61">
        <f>(Indeks!D107/Indeks!$D$40*Indeks!$D$2)/Indeks!H107*100</f>
        <v>0.18022563684893186</v>
      </c>
      <c r="E107" s="61">
        <f>(Indeks!E107/Indeks!$E$40*Indeks!$E$2)/Indeks!H107*100</f>
        <v>8.2465891139147179E-2</v>
      </c>
      <c r="F107" s="61">
        <f>(Indeks!F107/Indeks!$F$40*Indeks!$F$2)/Indeks!H107*100</f>
        <v>8.5057771950825645E-2</v>
      </c>
      <c r="G107" s="61">
        <f>(Indeks!G107/Indeks!$G$40*Indeks!$G$2)/Indeks!H107*100</f>
        <v>1.7971340427493394E-2</v>
      </c>
      <c r="H107" s="61">
        <f>SUM(C107:G107)</f>
        <v>0.99999999999999978</v>
      </c>
    </row>
    <row r="108" spans="1:8" hidden="1" x14ac:dyDescent="0.2">
      <c r="A108" s="12">
        <f t="shared" si="12"/>
        <v>2013</v>
      </c>
      <c r="B108" s="13" t="s">
        <v>15</v>
      </c>
      <c r="C108" s="66">
        <f>(Indeks!C108/Indeks!$C$40*Indeks!$C$2)/Indeks!H108*100</f>
        <v>0.63186416118919031</v>
      </c>
      <c r="D108" s="66">
        <f>(Indeks!D108/Indeks!$D$40*Indeks!$D$2)/Indeks!H108*100</f>
        <v>0.18399256143363604</v>
      </c>
      <c r="E108" s="66">
        <f>(Indeks!E108/Indeks!$E$40*Indeks!$E$2)/Indeks!H108*100</f>
        <v>8.1899103872230886E-2</v>
      </c>
      <c r="F108" s="66">
        <f>(Indeks!F108/Indeks!$F$40*Indeks!$F$2)/Indeks!H108*100</f>
        <v>8.4226501809897603E-2</v>
      </c>
      <c r="G108" s="66">
        <f>(Indeks!G108/Indeks!$G$40*Indeks!$G$2)/Indeks!H108*100</f>
        <v>1.8017671695044972E-2</v>
      </c>
      <c r="H108" s="66">
        <f>SUM(C108:G108)</f>
        <v>0.99999999999999989</v>
      </c>
    </row>
    <row r="109" spans="1:8" hidden="1" x14ac:dyDescent="0.2">
      <c r="A109" s="10">
        <f t="shared" si="12"/>
        <v>2013</v>
      </c>
      <c r="B109" t="s">
        <v>16</v>
      </c>
      <c r="C109" s="61">
        <f>(Indeks!C109/Indeks!$C$40*Indeks!$C$2)/Indeks!H109*100</f>
        <v>0.63199261584854438</v>
      </c>
      <c r="D109" s="61">
        <f>(Indeks!D109/Indeks!$D$40*Indeks!$D$2)/Indeks!H109*100</f>
        <v>0.18271916911286504</v>
      </c>
      <c r="E109" s="61">
        <f>(Indeks!E109/Indeks!$E$40*Indeks!$E$2)/Indeks!H109*100</f>
        <v>8.1781261672170286E-2</v>
      </c>
      <c r="F109" s="61">
        <f>(Indeks!F109/Indeks!$F$40*Indeks!$F$2)/Indeks!H109*100</f>
        <v>8.4040464748115676E-2</v>
      </c>
      <c r="G109" s="61">
        <f>(Indeks!G109/Indeks!$G$40*Indeks!$G$2)/Indeks!H109*100</f>
        <v>1.9466488618304741E-2</v>
      </c>
      <c r="H109" s="61">
        <f>SUM(C109:G109)</f>
        <v>1</v>
      </c>
    </row>
    <row r="110" spans="1:8" hidden="1" x14ac:dyDescent="0.2">
      <c r="A110" s="10">
        <f t="shared" si="12"/>
        <v>2013</v>
      </c>
      <c r="B110" t="s">
        <v>17</v>
      </c>
      <c r="C110" s="61">
        <f>(Indeks!C110/Indeks!$C$40*Indeks!$C$2)/Indeks!H110*100</f>
        <v>0.62915646341605469</v>
      </c>
      <c r="D110" s="61">
        <f>(Indeks!D110/Indeks!$D$40*Indeks!$D$2)/Indeks!H110*100</f>
        <v>0.1871857048026204</v>
      </c>
      <c r="E110" s="61">
        <f>(Indeks!E110/Indeks!$E$40*Indeks!$E$2)/Indeks!H110*100</f>
        <v>8.1665342020882284E-2</v>
      </c>
      <c r="F110" s="61">
        <f>(Indeks!F110/Indeks!$F$40*Indeks!$F$2)/Indeks!H110*100</f>
        <v>8.3411323826689004E-2</v>
      </c>
      <c r="G110" s="61">
        <f>(Indeks!G110/Indeks!$G$40*Indeks!$G$2)/Indeks!H110*100</f>
        <v>1.8581165933753675E-2</v>
      </c>
      <c r="H110" s="61">
        <f>SUM(C110:G110)</f>
        <v>1</v>
      </c>
    </row>
    <row r="111" spans="1:8" hidden="1" x14ac:dyDescent="0.2">
      <c r="A111" s="10">
        <f t="shared" si="12"/>
        <v>2013</v>
      </c>
      <c r="B111" t="s">
        <v>18</v>
      </c>
      <c r="C111" s="61">
        <f>(Indeks!C111/Indeks!$C$40*Indeks!$C$2)/Indeks!H111*100</f>
        <v>0.63164359856144892</v>
      </c>
      <c r="D111" s="61">
        <f>(Indeks!D111/Indeks!$D$40*Indeks!$D$2)/Indeks!H111*100</f>
        <v>0.18315983518168116</v>
      </c>
      <c r="E111" s="61">
        <f>(Indeks!E111/Indeks!$E$40*Indeks!$E$2)/Indeks!H111*100</f>
        <v>8.2114214157683774E-2</v>
      </c>
      <c r="F111" s="61">
        <f>(Indeks!F111/Indeks!$F$40*Indeks!$F$2)/Indeks!H111*100</f>
        <v>8.3741059348894101E-2</v>
      </c>
      <c r="G111" s="61">
        <f>(Indeks!G111/Indeks!$G$40*Indeks!$G$2)/Indeks!H111*100</f>
        <v>1.934129275029212E-2</v>
      </c>
      <c r="H111" s="61">
        <f>SUM(C111:G111)</f>
        <v>1</v>
      </c>
    </row>
    <row r="112" spans="1:8" hidden="1" x14ac:dyDescent="0.2">
      <c r="A112" s="48">
        <v>2014</v>
      </c>
      <c r="B112" s="49" t="s">
        <v>8</v>
      </c>
      <c r="C112" s="50">
        <f>(Indeks!C112/Indeks!$C$40*Indeks!$C$2)/Indeks!H112*100</f>
        <v>0.63535495015292309</v>
      </c>
      <c r="D112" s="50">
        <f>(Indeks!D112/Indeks!$D$40*Indeks!$D$2)/Indeks!H112*100</f>
        <v>0.18165600732184931</v>
      </c>
      <c r="E112" s="50">
        <f>(Indeks!E112/Indeks!$E$40*Indeks!$E$2)/Indeks!H112*100</f>
        <v>8.2274250458235512E-2</v>
      </c>
      <c r="F112" s="50">
        <f>(Indeks!F112/Indeks!$F$40*Indeks!$F$2)/Indeks!H112*100</f>
        <v>8.3589747155755817E-2</v>
      </c>
      <c r="G112" s="50">
        <f>(Indeks!G112/Indeks!$G$40*Indeks!$G$2)/Indeks!H112*100</f>
        <v>1.7125044911236138E-2</v>
      </c>
      <c r="H112" s="50">
        <f t="shared" ref="H112:H118" si="13">SUM(C112:G112)</f>
        <v>0.99999999999999989</v>
      </c>
    </row>
    <row r="113" spans="1:8" hidden="1" x14ac:dyDescent="0.2">
      <c r="A113" s="10">
        <f>A112</f>
        <v>2014</v>
      </c>
      <c r="B113" t="s">
        <v>9</v>
      </c>
      <c r="C113" s="61">
        <f>(Indeks!C113/Indeks!$C$40*Indeks!$C$2)/Indeks!H113*100</f>
        <v>0.63397283730216636</v>
      </c>
      <c r="D113" s="61">
        <f>(Indeks!D113/Indeks!$D$40*Indeks!$D$2)/Indeks!H113*100</f>
        <v>0.18212915921559011</v>
      </c>
      <c r="E113" s="61">
        <f>(Indeks!E113/Indeks!$E$40*Indeks!$E$2)/Indeks!H113*100</f>
        <v>8.2032125802076611E-2</v>
      </c>
      <c r="F113" s="61">
        <f>(Indeks!F113/Indeks!$F$40*Indeks!$F$2)/Indeks!H113*100</f>
        <v>8.3745937041720786E-2</v>
      </c>
      <c r="G113" s="61">
        <f>(Indeks!G113/Indeks!$G$40*Indeks!$G$2)/Indeks!H113*100</f>
        <v>1.8119940638445832E-2</v>
      </c>
      <c r="H113" s="61">
        <f t="shared" si="13"/>
        <v>0.99999999999999978</v>
      </c>
    </row>
    <row r="114" spans="1:8" hidden="1" x14ac:dyDescent="0.2">
      <c r="A114" s="12">
        <f t="shared" ref="A114:A123" si="14">A113</f>
        <v>2014</v>
      </c>
      <c r="B114" s="13" t="s">
        <v>10</v>
      </c>
      <c r="C114" s="62">
        <f>(Indeks!C114/Indeks!$C$40*Indeks!$C$2)/Indeks!H114*100</f>
        <v>0.63549448116488638</v>
      </c>
      <c r="D114" s="62">
        <f>(Indeks!D114/Indeks!$D$40*Indeks!$D$2)/Indeks!H114*100</f>
        <v>0.18115190129740832</v>
      </c>
      <c r="E114" s="62">
        <f>(Indeks!E114/Indeks!$E$40*Indeks!$E$2)/Indeks!H114*100</f>
        <v>8.2102413447421627E-2</v>
      </c>
      <c r="F114" s="62">
        <f>(Indeks!F114/Indeks!$F$40*Indeks!$F$2)/Indeks!H114*100</f>
        <v>8.3777523044971713E-2</v>
      </c>
      <c r="G114" s="62">
        <f>(Indeks!G114/Indeks!$G$40*Indeks!$G$2)/Indeks!H114*100</f>
        <v>1.7473681045311801E-2</v>
      </c>
      <c r="H114" s="62">
        <f t="shared" si="13"/>
        <v>0.99999999999999978</v>
      </c>
    </row>
    <row r="115" spans="1:8" hidden="1" x14ac:dyDescent="0.2">
      <c r="A115" s="10">
        <f t="shared" si="14"/>
        <v>2014</v>
      </c>
      <c r="B115" t="s">
        <v>11</v>
      </c>
      <c r="C115" s="61">
        <f>(Indeks!C115/Indeks!$C$40*Indeks!$C$2)/Indeks!H115*100</f>
        <v>0.63583831017228321</v>
      </c>
      <c r="D115" s="61">
        <f>(Indeks!D115/Indeks!$D$40*Indeks!$D$2)/Indeks!H115*100</f>
        <v>0.18139288166696488</v>
      </c>
      <c r="E115" s="61">
        <f>(Indeks!E115/Indeks!$E$40*Indeks!$E$2)/Indeks!H115*100</f>
        <v>8.2386255617299287E-2</v>
      </c>
      <c r="F115" s="61">
        <f>(Indeks!F115/Indeks!$F$40*Indeks!$F$2)/Indeks!H115*100</f>
        <v>8.3656659610081119E-2</v>
      </c>
      <c r="G115" s="61">
        <f>(Indeks!G115/Indeks!$G$40*Indeks!$G$2)/Indeks!H115*100</f>
        <v>1.6725892933371355E-2</v>
      </c>
      <c r="H115" s="61">
        <f t="shared" si="13"/>
        <v>0.99999999999999978</v>
      </c>
    </row>
    <row r="116" spans="1:8" hidden="1" x14ac:dyDescent="0.2">
      <c r="A116" s="10">
        <f t="shared" si="14"/>
        <v>2014</v>
      </c>
      <c r="B116" t="s">
        <v>12</v>
      </c>
      <c r="C116" s="61">
        <f>(Indeks!C116/Indeks!$C$40*Indeks!$C$2)/Indeks!H116*100</f>
        <v>0.63679966276365774</v>
      </c>
      <c r="D116" s="61">
        <f>(Indeks!D116/Indeks!$D$40*Indeks!$D$2)/Indeks!H116*100</f>
        <v>0.18068984889196468</v>
      </c>
      <c r="E116" s="61">
        <f>(Indeks!E116/Indeks!$E$40*Indeks!$E$2)/Indeks!H116*100</f>
        <v>8.257399737825101E-2</v>
      </c>
      <c r="F116" s="61">
        <f>(Indeks!F116/Indeks!$F$40*Indeks!$F$2)/Indeks!H116*100</f>
        <v>8.3529511762492945E-2</v>
      </c>
      <c r="G116" s="61">
        <f>(Indeks!G116/Indeks!$G$40*Indeks!$G$2)/Indeks!H116*100</f>
        <v>1.6406979203633584E-2</v>
      </c>
      <c r="H116" s="61">
        <f t="shared" si="13"/>
        <v>0.99999999999999989</v>
      </c>
    </row>
    <row r="117" spans="1:8" hidden="1" x14ac:dyDescent="0.2">
      <c r="A117" s="12">
        <f t="shared" si="14"/>
        <v>2014</v>
      </c>
      <c r="B117" s="13" t="s">
        <v>13</v>
      </c>
      <c r="C117" s="62">
        <f>(Indeks!C117/Indeks!$C$40*Indeks!$C$2)/Indeks!H117*100</f>
        <v>0.63768886429755045</v>
      </c>
      <c r="D117" s="62">
        <f>(Indeks!D117/Indeks!$D$40*Indeks!$D$2)/Indeks!H117*100</f>
        <v>0.1799635034639471</v>
      </c>
      <c r="E117" s="62">
        <f>(Indeks!E117/Indeks!$E$40*Indeks!$E$2)/Indeks!H117*100</f>
        <v>8.2815833376520903E-2</v>
      </c>
      <c r="F117" s="62">
        <f>(Indeks!F117/Indeks!$F$40*Indeks!$F$2)/Indeks!H117*100</f>
        <v>8.3561486931714807E-2</v>
      </c>
      <c r="G117" s="62">
        <f>(Indeks!G117/Indeks!$G$40*Indeks!$G$2)/Indeks!H117*100</f>
        <v>1.5970311930266937E-2</v>
      </c>
      <c r="H117" s="62">
        <f t="shared" si="13"/>
        <v>1.0000000000000002</v>
      </c>
    </row>
    <row r="118" spans="1:8" hidden="1" x14ac:dyDescent="0.2">
      <c r="A118" s="10">
        <f t="shared" si="14"/>
        <v>2014</v>
      </c>
      <c r="B118" t="s">
        <v>30</v>
      </c>
      <c r="C118" s="61">
        <f>(Indeks!C118/Indeks!$C$40*Indeks!$C$2)/Indeks!H118*100</f>
        <v>0.63945943569208796</v>
      </c>
      <c r="D118" s="61">
        <f>(Indeks!D118/Indeks!$D$40*Indeks!$D$2)/Indeks!H118*100</f>
        <v>0.17905242702047303</v>
      </c>
      <c r="E118" s="61">
        <f>(Indeks!E118/Indeks!$E$40*Indeks!$E$2)/Indeks!H118*100</f>
        <v>8.2783810729801385E-2</v>
      </c>
      <c r="F118" s="61">
        <f>(Indeks!F118/Indeks!$F$40*Indeks!$F$2)/Indeks!H118*100</f>
        <v>8.3762424305075231E-2</v>
      </c>
      <c r="G118" s="61">
        <f>(Indeks!G118/Indeks!$G$40*Indeks!$G$2)/Indeks!H118*100</f>
        <v>1.4941902252562457E-2</v>
      </c>
      <c r="H118" s="61">
        <f t="shared" si="13"/>
        <v>0.99999999999999989</v>
      </c>
    </row>
    <row r="119" spans="1:8" hidden="1" x14ac:dyDescent="0.2">
      <c r="A119" s="10">
        <f t="shared" si="14"/>
        <v>2014</v>
      </c>
      <c r="B119" t="s">
        <v>14</v>
      </c>
      <c r="C119" s="61">
        <f>(Indeks!C119/Indeks!$C$40*Indeks!$C$2)/Indeks!H119*100</f>
        <v>0.63820008039494114</v>
      </c>
      <c r="D119" s="61">
        <f>(Indeks!D119/Indeks!$D$40*Indeks!$D$2)/Indeks!H119*100</f>
        <v>0.18076255597704977</v>
      </c>
      <c r="E119" s="61">
        <f>(Indeks!E119/Indeks!$E$40*Indeks!$E$2)/Indeks!H119*100</f>
        <v>8.2557610059340758E-2</v>
      </c>
      <c r="F119" s="61">
        <f>(Indeks!F119/Indeks!$F$40*Indeks!$F$2)/Indeks!H119*100</f>
        <v>8.3681989339780438E-2</v>
      </c>
      <c r="G119" s="61">
        <f>(Indeks!G119/Indeks!$G$40*Indeks!$G$2)/Indeks!H119*100</f>
        <v>1.4797764228887842E-2</v>
      </c>
      <c r="H119" s="61">
        <f>SUM(C119:G119)</f>
        <v>0.99999999999999989</v>
      </c>
    </row>
    <row r="120" spans="1:8" hidden="1" x14ac:dyDescent="0.2">
      <c r="A120" s="12">
        <f t="shared" si="14"/>
        <v>2014</v>
      </c>
      <c r="B120" s="13" t="s">
        <v>15</v>
      </c>
      <c r="C120" s="62">
        <f>(Indeks!C120/Indeks!$C$40*Indeks!$C$2)/Indeks!H120*100</f>
        <v>0.63933172262948534</v>
      </c>
      <c r="D120" s="62">
        <f>(Indeks!D120/Indeks!$D$40*Indeks!$D$2)/Indeks!H120*100</f>
        <v>0.17934294242705881</v>
      </c>
      <c r="E120" s="62">
        <f>(Indeks!E120/Indeks!$E$40*Indeks!$E$2)/Indeks!H120*100</f>
        <v>8.2640721648510301E-2</v>
      </c>
      <c r="F120" s="62">
        <f>(Indeks!F120/Indeks!$F$40*Indeks!$F$2)/Indeks!H120*100</f>
        <v>8.374569524433749E-2</v>
      </c>
      <c r="G120" s="62">
        <f>(Indeks!G120/Indeks!$G$40*Indeks!$G$2)/Indeks!H120*100</f>
        <v>1.493891805060801E-2</v>
      </c>
      <c r="H120" s="62">
        <f>SUM(C120:G120)</f>
        <v>1</v>
      </c>
    </row>
    <row r="121" spans="1:8" hidden="1" x14ac:dyDescent="0.2">
      <c r="A121" s="10">
        <f t="shared" si="14"/>
        <v>2014</v>
      </c>
      <c r="B121" t="s">
        <v>16</v>
      </c>
      <c r="C121" s="61">
        <f>(Indeks!C121/Indeks!$C$40*Indeks!$C$2)/Indeks!H121*100</f>
        <v>0.64063912184651284</v>
      </c>
      <c r="D121" s="61">
        <f>(Indeks!D121/Indeks!$D$40*Indeks!$D$2)/Indeks!H121*100</f>
        <v>0.17943018186484036</v>
      </c>
      <c r="E121" s="61">
        <f>(Indeks!E121/Indeks!$E$40*Indeks!$E$2)/Indeks!H121*100</f>
        <v>8.2354535872584927E-2</v>
      </c>
      <c r="F121" s="61">
        <f>(Indeks!F121/Indeks!$F$40*Indeks!$F$2)/Indeks!H121*100</f>
        <v>8.3583682445755272E-2</v>
      </c>
      <c r="G121" s="61">
        <f>(Indeks!G121/Indeks!$G$40*Indeks!$G$2)/Indeks!H121*100</f>
        <v>1.3992477970306581E-2</v>
      </c>
      <c r="H121" s="61">
        <f>SUM(C121:G121)</f>
        <v>1</v>
      </c>
    </row>
    <row r="122" spans="1:8" hidden="1" x14ac:dyDescent="0.2">
      <c r="A122" s="10">
        <f t="shared" si="14"/>
        <v>2014</v>
      </c>
      <c r="B122" t="s">
        <v>17</v>
      </c>
      <c r="C122" s="61">
        <f>(Indeks!C122/Indeks!$C$40*Indeks!$C$2)/Indeks!H122*100</f>
        <v>0.64185199161971029</v>
      </c>
      <c r="D122" s="61">
        <f>(Indeks!D122/Indeks!$D$40*Indeks!$D$2)/Indeks!H122*100</f>
        <v>0.17792106931915311</v>
      </c>
      <c r="E122" s="61">
        <f>(Indeks!E122/Indeks!$E$40*Indeks!$E$2)/Indeks!H122*100</f>
        <v>8.2763550538147074E-2</v>
      </c>
      <c r="F122" s="61">
        <f>(Indeks!F122/Indeks!$F$40*Indeks!$F$2)/Indeks!H122*100</f>
        <v>8.3904058056816264E-2</v>
      </c>
      <c r="G122" s="61">
        <f>(Indeks!G122/Indeks!$G$40*Indeks!$G$2)/Indeks!H122*100</f>
        <v>1.3559330466173407E-2</v>
      </c>
      <c r="H122" s="61">
        <f>SUM(C122:G122)</f>
        <v>1</v>
      </c>
    </row>
    <row r="123" spans="1:8" ht="13.5" hidden="1" thickBot="1" x14ac:dyDescent="0.25">
      <c r="A123" s="30">
        <f t="shared" si="14"/>
        <v>2014</v>
      </c>
      <c r="B123" s="31" t="s">
        <v>18</v>
      </c>
      <c r="C123" s="64">
        <f>(Indeks!C123/Indeks!$C$40*Indeks!$C$2)/Indeks!H123*100</f>
        <v>0.64473628488000811</v>
      </c>
      <c r="D123" s="64">
        <f>(Indeks!D123/Indeks!$D$40*Indeks!$D$2)/Indeks!H123*100</f>
        <v>0.17358620045604584</v>
      </c>
      <c r="E123" s="64">
        <f>(Indeks!E123/Indeks!$E$40*Indeks!$E$2)/Indeks!H123*100</f>
        <v>8.319902471197263E-2</v>
      </c>
      <c r="F123" s="64">
        <f>(Indeks!F123/Indeks!$F$40*Indeks!$F$2)/Indeks!H123*100</f>
        <v>8.4281098110169095E-2</v>
      </c>
      <c r="G123" s="64">
        <f>(Indeks!G123/Indeks!$G$40*Indeks!$G$2)/Indeks!H123*100</f>
        <v>1.419739184180443E-2</v>
      </c>
      <c r="H123" s="64">
        <f>SUM(C123:G123)</f>
        <v>1</v>
      </c>
    </row>
    <row r="124" spans="1:8" hidden="1" x14ac:dyDescent="0.2">
      <c r="A124" s="48">
        <v>2015</v>
      </c>
      <c r="B124" t="s">
        <v>8</v>
      </c>
      <c r="C124" s="61">
        <f>(Indeks!C124/Indeks!$C$40*Indeks!$C$2)/Indeks!H124*100</f>
        <v>0.64673045313552091</v>
      </c>
      <c r="D124" s="61">
        <f>(Indeks!D124/Indeks!$D$40*Indeks!$D$2)/Indeks!H124*100</f>
        <v>0.1727478368420674</v>
      </c>
      <c r="E124" s="61">
        <f>(Indeks!E124/Indeks!$E$40*Indeks!$E$2)/Indeks!H124*100</f>
        <v>8.292054898413459E-2</v>
      </c>
      <c r="F124" s="50">
        <f>(Indeks!F124/Indeks!$F$40*Indeks!$F$2)/Indeks!H124*100</f>
        <v>8.4110608981765991E-2</v>
      </c>
      <c r="G124" s="61">
        <f>(Indeks!G124/Indeks!$G$40*Indeks!$G$2)/Indeks!H124*100</f>
        <v>1.3490552056511106E-2</v>
      </c>
      <c r="H124" s="61">
        <f t="shared" ref="H124:H135" si="15">SUM(C124:G124)</f>
        <v>1</v>
      </c>
    </row>
    <row r="125" spans="1:8" hidden="1" x14ac:dyDescent="0.2">
      <c r="A125" s="10">
        <f>A124</f>
        <v>2015</v>
      </c>
      <c r="B125" t="s">
        <v>9</v>
      </c>
      <c r="C125" s="61">
        <f>(Indeks!C125/Indeks!$C$40*Indeks!$C$2)/Indeks!H125*100</f>
        <v>0.65568602342358484</v>
      </c>
      <c r="D125" s="61">
        <f>(Indeks!D125/Indeks!$D$40*Indeks!$D$2)/Indeks!H125*100</f>
        <v>0.16197403254547038</v>
      </c>
      <c r="E125" s="61">
        <f>(Indeks!E125/Indeks!$E$40*Indeks!$E$2)/Indeks!H125*100</f>
        <v>8.387567388246317E-2</v>
      </c>
      <c r="F125" s="61">
        <f>(Indeks!F125/Indeks!$F$40*Indeks!$F$2)/Indeks!H125*100</f>
        <v>8.5605211991969341E-2</v>
      </c>
      <c r="G125" s="61">
        <f>(Indeks!G125/Indeks!$G$40*Indeks!$G$2)/Indeks!H125*100</f>
        <v>1.285905815651224E-2</v>
      </c>
      <c r="H125" s="61">
        <f t="shared" si="15"/>
        <v>1</v>
      </c>
    </row>
    <row r="126" spans="1:8" hidden="1" x14ac:dyDescent="0.2">
      <c r="A126" s="12">
        <f t="shared" ref="A126:A135" si="16">A125</f>
        <v>2015</v>
      </c>
      <c r="B126" s="13" t="s">
        <v>10</v>
      </c>
      <c r="C126" s="62">
        <f>(Indeks!C126/Indeks!$C$40*Indeks!$C$2)/Indeks!H126*100</f>
        <v>0.66236164285808263</v>
      </c>
      <c r="D126" s="62">
        <f>(Indeks!D126/Indeks!$D$40*Indeks!$D$2)/Indeks!H126*100</f>
        <v>0.15624665826297077</v>
      </c>
      <c r="E126" s="62">
        <f>(Indeks!E126/Indeks!$E$40*Indeks!$E$2)/Indeks!H126*100</f>
        <v>8.4274436356898463E-2</v>
      </c>
      <c r="F126" s="62">
        <f>(Indeks!F126/Indeks!$F$40*Indeks!$F$2)/Indeks!H126*100</f>
        <v>8.6843370991597765E-2</v>
      </c>
      <c r="G126" s="62">
        <f>(Indeks!G126/Indeks!$G$40*Indeks!$G$2)/Indeks!H126*100</f>
        <v>1.0273891530450423E-2</v>
      </c>
      <c r="H126" s="62">
        <f t="shared" si="15"/>
        <v>1</v>
      </c>
    </row>
    <row r="127" spans="1:8" hidden="1" x14ac:dyDescent="0.2">
      <c r="A127" s="10">
        <f t="shared" si="16"/>
        <v>2015</v>
      </c>
      <c r="B127" t="s">
        <v>11</v>
      </c>
      <c r="C127" s="61">
        <f>(Indeks!C127/Indeks!$C$40*Indeks!$C$2)/Indeks!H127*100</f>
        <v>0.65684408601781064</v>
      </c>
      <c r="D127" s="61">
        <f>(Indeks!D127/Indeks!$D$40*Indeks!$D$2)/Indeks!H127*100</f>
        <v>0.16352744383496018</v>
      </c>
      <c r="E127" s="61">
        <f>(Indeks!E127/Indeks!$E$40*Indeks!$E$2)/Indeks!H127*100</f>
        <v>8.4093518720260413E-2</v>
      </c>
      <c r="F127" s="61">
        <f>(Indeks!F127/Indeks!$F$40*Indeks!$F$2)/Indeks!H127*100</f>
        <v>8.5968263670224421E-2</v>
      </c>
      <c r="G127" s="61">
        <f>(Indeks!G127/Indeks!$G$40*Indeks!$G$2)/Indeks!H127*100</f>
        <v>9.5666877567443867E-3</v>
      </c>
      <c r="H127" s="61">
        <f t="shared" si="15"/>
        <v>1</v>
      </c>
    </row>
    <row r="128" spans="1:8" hidden="1" x14ac:dyDescent="0.2">
      <c r="A128" s="10">
        <f t="shared" si="16"/>
        <v>2015</v>
      </c>
      <c r="B128" t="s">
        <v>12</v>
      </c>
      <c r="C128" s="61">
        <f>(Indeks!C128/Indeks!$C$40*Indeks!$C$2)/Indeks!H128*100</f>
        <v>0.65554554002440435</v>
      </c>
      <c r="D128" s="61">
        <f>(Indeks!D128/Indeks!$D$40*Indeks!$D$2)/Indeks!H128*100</f>
        <v>0.16430614495045315</v>
      </c>
      <c r="E128" s="61">
        <f>(Indeks!E128/Indeks!$E$40*Indeks!$E$2)/Indeks!H128*100</f>
        <v>8.4311963654838964E-2</v>
      </c>
      <c r="F128" s="61">
        <f>(Indeks!F128/Indeks!$F$40*Indeks!$F$2)/Indeks!H128*100</f>
        <v>8.6055703889861793E-2</v>
      </c>
      <c r="G128" s="61">
        <f>(Indeks!G128/Indeks!$G$40*Indeks!$G$2)/Indeks!H128*100</f>
        <v>9.7806474804415372E-3</v>
      </c>
      <c r="H128" s="61">
        <f t="shared" si="15"/>
        <v>0.99999999999999978</v>
      </c>
    </row>
    <row r="129" spans="1:8" hidden="1" x14ac:dyDescent="0.2">
      <c r="A129" s="12">
        <f t="shared" si="16"/>
        <v>2015</v>
      </c>
      <c r="B129" s="13" t="s">
        <v>13</v>
      </c>
      <c r="C129" s="62">
        <f>(Indeks!C129/Indeks!$C$40*Indeks!$C$2)/Indeks!H129*100</f>
        <v>0.65474006095967408</v>
      </c>
      <c r="D129" s="62">
        <f>(Indeks!D129/Indeks!$D$40*Indeks!$D$2)/Indeks!H129*100</f>
        <v>0.1652048916079174</v>
      </c>
      <c r="E129" s="62">
        <f>(Indeks!E129/Indeks!$E$40*Indeks!$E$2)/Indeks!H129*100</f>
        <v>8.4251340820532303E-2</v>
      </c>
      <c r="F129" s="62">
        <f>(Indeks!F129/Indeks!$F$40*Indeks!$F$2)/Indeks!H129*100</f>
        <v>8.6965422465667894E-2</v>
      </c>
      <c r="G129" s="62">
        <f>(Indeks!G129/Indeks!$G$40*Indeks!$G$2)/Indeks!H129*100</f>
        <v>8.8382841462081464E-3</v>
      </c>
      <c r="H129" s="62">
        <f t="shared" si="15"/>
        <v>0.99999999999999978</v>
      </c>
    </row>
    <row r="130" spans="1:8" hidden="1" x14ac:dyDescent="0.2">
      <c r="A130" s="10">
        <f t="shared" si="16"/>
        <v>2015</v>
      </c>
      <c r="B130" t="s">
        <v>30</v>
      </c>
      <c r="C130" s="61">
        <f>(Indeks!C130/Indeks!$C$40*Indeks!$C$2)/Indeks!H130*100</f>
        <v>0.65249919131062917</v>
      </c>
      <c r="D130" s="61">
        <f>(Indeks!D130/Indeks!$D$40*Indeks!$D$2)/Indeks!H130*100</f>
        <v>0.16578316133552706</v>
      </c>
      <c r="E130" s="61">
        <f>(Indeks!E130/Indeks!$E$40*Indeks!$E$2)/Indeks!H130*100</f>
        <v>8.3807708207086981E-2</v>
      </c>
      <c r="F130" s="61">
        <f>(Indeks!F130/Indeks!$F$40*Indeks!$F$2)/Indeks!H130*100</f>
        <v>8.6463375270498591E-2</v>
      </c>
      <c r="G130" s="61">
        <f>(Indeks!G130/Indeks!$G$40*Indeks!$G$2)/Indeks!H130*100</f>
        <v>1.1446563876258323E-2</v>
      </c>
      <c r="H130" s="61">
        <f t="shared" si="15"/>
        <v>1.0000000000000002</v>
      </c>
    </row>
    <row r="131" spans="1:8" hidden="1" x14ac:dyDescent="0.2">
      <c r="A131" s="10">
        <f t="shared" si="16"/>
        <v>2015</v>
      </c>
      <c r="B131" t="s">
        <v>14</v>
      </c>
      <c r="C131" s="61">
        <f>(Indeks!C131/Indeks!$C$40*Indeks!$C$2)/Indeks!H131*100</f>
        <v>0.65235850168902765</v>
      </c>
      <c r="D131" s="61">
        <f>(Indeks!D131/Indeks!$D$40*Indeks!$D$2)/Indeks!H131*100</f>
        <v>0.1644345649252042</v>
      </c>
      <c r="E131" s="61">
        <f>(Indeks!E131/Indeks!$E$40*Indeks!$E$2)/Indeks!H131*100</f>
        <v>8.3767838845100098E-2</v>
      </c>
      <c r="F131" s="61">
        <f>(Indeks!F131/Indeks!$F$40*Indeks!$F$2)/Indeks!H131*100</f>
        <v>8.660783560476544E-2</v>
      </c>
      <c r="G131" s="61">
        <f>(Indeks!G131/Indeks!$G$40*Indeks!$G$2)/Indeks!H131*100</f>
        <v>1.2831258935902654E-2</v>
      </c>
      <c r="H131" s="61">
        <f t="shared" si="15"/>
        <v>1</v>
      </c>
    </row>
    <row r="132" spans="1:8" hidden="1" x14ac:dyDescent="0.2">
      <c r="A132" s="12">
        <f t="shared" si="16"/>
        <v>2015</v>
      </c>
      <c r="B132" s="13" t="s">
        <v>15</v>
      </c>
      <c r="C132" s="62">
        <f>(Indeks!C132/Indeks!$C$40*Indeks!$C$2)/Indeks!H132*100</f>
        <v>0.65540297909551304</v>
      </c>
      <c r="D132" s="62">
        <f>(Indeks!D132/Indeks!$D$40*Indeks!$D$2)/Indeks!H132*100</f>
        <v>0.1617946018038785</v>
      </c>
      <c r="E132" s="62">
        <f>(Indeks!E132/Indeks!$E$40*Indeks!$E$2)/Indeks!H132*100</f>
        <v>8.4094822676719472E-2</v>
      </c>
      <c r="F132" s="62">
        <f>(Indeks!F132/Indeks!$F$40*Indeks!$F$2)/Indeks!H132*100</f>
        <v>8.7093956015489124E-2</v>
      </c>
      <c r="G132" s="62">
        <f>(Indeks!G132/Indeks!$G$40*Indeks!$G$2)/Indeks!H132*100</f>
        <v>1.1613640408399812E-2</v>
      </c>
      <c r="H132" s="62">
        <f t="shared" si="15"/>
        <v>0.99999999999999989</v>
      </c>
    </row>
    <row r="133" spans="1:8" hidden="1" x14ac:dyDescent="0.2">
      <c r="A133" s="10">
        <f t="shared" si="16"/>
        <v>2015</v>
      </c>
      <c r="B133" t="s">
        <v>16</v>
      </c>
      <c r="C133" s="61">
        <f>(Indeks!C133/Indeks!$C$40*Indeks!$C$2)/Indeks!H133*100</f>
        <v>0.65996806183455248</v>
      </c>
      <c r="D133" s="61">
        <f>(Indeks!D133/Indeks!$D$40*Indeks!$D$2)/Indeks!H133*100</f>
        <v>0.15609781828314234</v>
      </c>
      <c r="E133" s="61">
        <f>(Indeks!E133/Indeks!$E$40*Indeks!$E$2)/Indeks!H133*100</f>
        <v>8.402663338184882E-2</v>
      </c>
      <c r="F133" s="61">
        <f>(Indeks!F133/Indeks!$F$40*Indeks!$F$2)/Indeks!H133*100</f>
        <v>8.7453083401262094E-2</v>
      </c>
      <c r="G133" s="61">
        <f>(Indeks!G133/Indeks!$G$40*Indeks!$G$2)/Indeks!H133*100</f>
        <v>1.2454403099194272E-2</v>
      </c>
      <c r="H133" s="61">
        <f t="shared" si="15"/>
        <v>1</v>
      </c>
    </row>
    <row r="134" spans="1:8" hidden="1" x14ac:dyDescent="0.2">
      <c r="A134" s="10">
        <f t="shared" si="16"/>
        <v>2015</v>
      </c>
      <c r="B134" t="s">
        <v>17</v>
      </c>
      <c r="C134" s="61">
        <f>(Indeks!C134/Indeks!$C$40*Indeks!$C$2)/Indeks!H134*100</f>
        <v>0.66120424699573543</v>
      </c>
      <c r="D134" s="61">
        <f>(Indeks!D134/Indeks!$D$40*Indeks!$D$2)/Indeks!H134*100</f>
        <v>0.15374139405708265</v>
      </c>
      <c r="E134" s="61">
        <f>(Indeks!E134/Indeks!$E$40*Indeks!$E$2)/Indeks!H134*100</f>
        <v>8.4376664325683109E-2</v>
      </c>
      <c r="F134" s="61">
        <f>(Indeks!F134/Indeks!$F$40*Indeks!$F$2)/Indeks!H134*100</f>
        <v>8.7616891637224026E-2</v>
      </c>
      <c r="G134" s="61">
        <f>(Indeks!G134/Indeks!$G$40*Indeks!$G$2)/Indeks!H134*100</f>
        <v>1.3060802984274773E-2</v>
      </c>
      <c r="H134" s="61">
        <f t="shared" si="15"/>
        <v>1</v>
      </c>
    </row>
    <row r="135" spans="1:8" hidden="1" x14ac:dyDescent="0.2">
      <c r="A135" s="12">
        <f t="shared" si="16"/>
        <v>2015</v>
      </c>
      <c r="B135" s="13" t="s">
        <v>18</v>
      </c>
      <c r="C135" s="62">
        <f>(Indeks!C135/Indeks!$C$40*Indeks!$C$2)/Indeks!H135*100</f>
        <v>0.66103904203571173</v>
      </c>
      <c r="D135" s="62">
        <f>(Indeks!D135/Indeks!$D$40*Indeks!$D$2)/Indeks!H135*100</f>
        <v>0.15425467876045981</v>
      </c>
      <c r="E135" s="62">
        <f>(Indeks!E135/Indeks!$E$40*Indeks!$E$2)/Indeks!H135*100</f>
        <v>8.4355582423199585E-2</v>
      </c>
      <c r="F135" s="62">
        <f>(Indeks!F135/Indeks!$F$40*Indeks!$F$2)/Indeks!H135*100</f>
        <v>8.7759497801720238E-2</v>
      </c>
      <c r="G135" s="62">
        <f>(Indeks!G135/Indeks!$G$40*Indeks!$G$2)/Indeks!H135*100</f>
        <v>1.2591198978908699E-2</v>
      </c>
      <c r="H135" s="62">
        <f t="shared" si="15"/>
        <v>1</v>
      </c>
    </row>
    <row r="136" spans="1:8" hidden="1" x14ac:dyDescent="0.2">
      <c r="A136" s="48">
        <v>2016</v>
      </c>
      <c r="B136" t="s">
        <v>8</v>
      </c>
      <c r="C136" s="61">
        <f>(Indeks!C136/Indeks!$C$40*Indeks!$C$2)/Indeks!H136*100</f>
        <v>0.66318952881571003</v>
      </c>
      <c r="D136" s="61">
        <f>(Indeks!D136/Indeks!$D$40*Indeks!$D$2)/Indeks!H136*100</f>
        <v>0.15283904887282665</v>
      </c>
      <c r="E136" s="61">
        <f>(Indeks!E136/Indeks!$E$40*Indeks!$E$2)/Indeks!H136*100</f>
        <v>8.4109129356729817E-2</v>
      </c>
      <c r="F136" s="61">
        <f>(Indeks!F136/Indeks!$F$40*Indeks!$F$2)/Indeks!H136*100</f>
        <v>8.7852543838209216E-2</v>
      </c>
      <c r="G136" s="61">
        <f>(Indeks!G136/Indeks!$G$40*Indeks!$G$2)/Indeks!H136*100</f>
        <v>1.2009749116524273E-2</v>
      </c>
      <c r="H136" s="61">
        <f t="shared" ref="H136:H147" si="17">SUM(C136:G136)</f>
        <v>1</v>
      </c>
    </row>
    <row r="137" spans="1:8" hidden="1" x14ac:dyDescent="0.2">
      <c r="A137" s="10">
        <f>A136</f>
        <v>2016</v>
      </c>
      <c r="B137" t="s">
        <v>9</v>
      </c>
      <c r="C137" s="61">
        <f>(Indeks!C137/Indeks!$C$40*Indeks!$C$2)/Indeks!H137*100</f>
        <v>0.66867751239187356</v>
      </c>
      <c r="D137" s="61">
        <f>(Indeks!D137/Indeks!$D$40*Indeks!$D$2)/Indeks!H137*100</f>
        <v>0.14509124323860581</v>
      </c>
      <c r="E137" s="61">
        <f>(Indeks!E137/Indeks!$E$40*Indeks!$E$2)/Indeks!H137*100</f>
        <v>8.4837191058016653E-2</v>
      </c>
      <c r="F137" s="61">
        <f>(Indeks!F137/Indeks!$F$40*Indeks!$F$2)/Indeks!H137*100</f>
        <v>8.8579535590580891E-2</v>
      </c>
      <c r="G137" s="61">
        <f>(Indeks!G137/Indeks!$G$40*Indeks!$G$2)/Indeks!H137*100</f>
        <v>1.2814517720923284E-2</v>
      </c>
      <c r="H137" s="61">
        <f t="shared" si="17"/>
        <v>1.0000000000000002</v>
      </c>
    </row>
    <row r="138" spans="1:8" hidden="1" x14ac:dyDescent="0.2">
      <c r="A138" s="12">
        <f t="shared" ref="A138:A147" si="18">A137</f>
        <v>2016</v>
      </c>
      <c r="B138" s="13" t="s">
        <v>10</v>
      </c>
      <c r="C138" s="62">
        <f>(Indeks!C138/Indeks!$C$40*Indeks!$C$2)/Indeks!H138*100</f>
        <v>0.67243734206108119</v>
      </c>
      <c r="D138" s="62">
        <f>(Indeks!D138/Indeks!$D$40*Indeks!$D$2)/Indeks!H138*100</f>
        <v>0.14057490836111153</v>
      </c>
      <c r="E138" s="62">
        <f>(Indeks!E138/Indeks!$E$40*Indeks!$E$2)/Indeks!H138*100</f>
        <v>8.494017334540177E-2</v>
      </c>
      <c r="F138" s="62">
        <f>(Indeks!F138/Indeks!$F$40*Indeks!$F$2)/Indeks!H138*100</f>
        <v>8.9161005237623242E-2</v>
      </c>
      <c r="G138" s="62">
        <f>(Indeks!G138/Indeks!$G$40*Indeks!$G$2)/Indeks!H138*100</f>
        <v>1.2886570994782265E-2</v>
      </c>
      <c r="H138" s="62">
        <f t="shared" si="17"/>
        <v>1</v>
      </c>
    </row>
    <row r="139" spans="1:8" hidden="1" x14ac:dyDescent="0.2">
      <c r="A139" s="10">
        <f t="shared" si="18"/>
        <v>2016</v>
      </c>
      <c r="B139" t="s">
        <v>11</v>
      </c>
      <c r="C139" s="61">
        <f>(Indeks!C139/Indeks!$C$40*Indeks!$C$2)/Indeks!H139*100</f>
        <v>0.6754505485456167</v>
      </c>
      <c r="D139" s="61">
        <f>(Indeks!D139/Indeks!$D$40*Indeks!$D$2)/Indeks!H139*100</f>
        <v>0.1383928124575505</v>
      </c>
      <c r="E139" s="61">
        <f>(Indeks!E139/Indeks!$E$40*Indeks!$E$2)/Indeks!H139*100</f>
        <v>8.5587836858725938E-2</v>
      </c>
      <c r="F139" s="61">
        <f>(Indeks!F139/Indeks!$F$40*Indeks!$F$2)/Indeks!H139*100</f>
        <v>8.9212594621736072E-2</v>
      </c>
      <c r="G139" s="61">
        <f>(Indeks!G139/Indeks!$G$40*Indeks!$G$2)/Indeks!H139*100</f>
        <v>1.1356207516370686E-2</v>
      </c>
      <c r="H139" s="61">
        <f t="shared" si="17"/>
        <v>0.99999999999999989</v>
      </c>
    </row>
    <row r="140" spans="1:8" hidden="1" x14ac:dyDescent="0.2">
      <c r="A140" s="10">
        <f t="shared" si="18"/>
        <v>2016</v>
      </c>
      <c r="B140" t="s">
        <v>12</v>
      </c>
      <c r="C140" s="61">
        <f>(Indeks!C140/Indeks!$C$40*Indeks!$C$2)/Indeks!H140*100</f>
        <v>0.67121870162955566</v>
      </c>
      <c r="D140" s="61">
        <f>(Indeks!D140/Indeks!$D$40*Indeks!$D$2)/Indeks!H140*100</f>
        <v>0.14491615341422015</v>
      </c>
      <c r="E140" s="61">
        <f>(Indeks!E140/Indeks!$E$40*Indeks!$E$2)/Indeks!H140*100</f>
        <v>8.5136576795123042E-2</v>
      </c>
      <c r="F140" s="61">
        <f>(Indeks!F140/Indeks!$F$40*Indeks!$F$2)/Indeks!H140*100</f>
        <v>8.8736589398371729E-2</v>
      </c>
      <c r="G140" s="61">
        <f>(Indeks!G140/Indeks!$G$40*Indeks!$G$2)/Indeks!H140*100</f>
        <v>9.9919787627293331E-3</v>
      </c>
      <c r="H140" s="61">
        <f t="shared" si="17"/>
        <v>0.99999999999999978</v>
      </c>
    </row>
    <row r="141" spans="1:8" hidden="1" x14ac:dyDescent="0.2">
      <c r="A141" s="12">
        <f t="shared" si="18"/>
        <v>2016</v>
      </c>
      <c r="B141" s="13" t="s">
        <v>13</v>
      </c>
      <c r="C141" s="62">
        <f>(Indeks!C141/Indeks!$C$40*Indeks!$C$2)/Indeks!H141*100</f>
        <v>0.67165466957090036</v>
      </c>
      <c r="D141" s="62">
        <f>(Indeks!D141/Indeks!$D$40*Indeks!$D$2)/Indeks!H141*100</f>
        <v>0.14420645253616504</v>
      </c>
      <c r="E141" s="62">
        <f>(Indeks!E141/Indeks!$E$40*Indeks!$E$2)/Indeks!H141*100</f>
        <v>8.5276896277818967E-2</v>
      </c>
      <c r="F141" s="62">
        <f>(Indeks!F141/Indeks!$F$40*Indeks!$F$2)/Indeks!H141*100</f>
        <v>8.8628254804965917E-2</v>
      </c>
      <c r="G141" s="62">
        <f>(Indeks!G141/Indeks!$G$40*Indeks!$G$2)/Indeks!H141*100</f>
        <v>1.0233726810149616E-2</v>
      </c>
      <c r="H141" s="62">
        <f t="shared" si="17"/>
        <v>1</v>
      </c>
    </row>
    <row r="142" spans="1:8" hidden="1" x14ac:dyDescent="0.2">
      <c r="A142" s="10">
        <f t="shared" si="18"/>
        <v>2016</v>
      </c>
      <c r="B142" t="s">
        <v>30</v>
      </c>
      <c r="C142" s="61">
        <f>(Indeks!C142/Indeks!$C$40*Indeks!$C$2)/Indeks!H142*100</f>
        <v>0.67042123165096135</v>
      </c>
      <c r="D142" s="61">
        <f>(Indeks!D142/Indeks!$D$40*Indeks!$D$2)/Indeks!H142*100</f>
        <v>0.1471530144356307</v>
      </c>
      <c r="E142" s="61">
        <f>(Indeks!E142/Indeks!$E$40*Indeks!$E$2)/Indeks!H142*100</f>
        <v>8.4828640307242409E-2</v>
      </c>
      <c r="F142" s="61">
        <f>(Indeks!F142/Indeks!$F$40*Indeks!$F$2)/Indeks!H142*100</f>
        <v>8.7904550200323145E-2</v>
      </c>
      <c r="G142" s="61">
        <f>(Indeks!G142/Indeks!$G$40*Indeks!$G$2)/Indeks!H142*100</f>
        <v>9.6925634058423679E-3</v>
      </c>
      <c r="H142" s="61">
        <f t="shared" si="17"/>
        <v>1</v>
      </c>
    </row>
    <row r="143" spans="1:8" hidden="1" x14ac:dyDescent="0.2">
      <c r="A143" s="10">
        <f t="shared" si="18"/>
        <v>2016</v>
      </c>
      <c r="B143" t="s">
        <v>14</v>
      </c>
      <c r="C143" s="61">
        <f>(Indeks!C143/Indeks!$C$40*Indeks!$C$2)/Indeks!H143*100</f>
        <v>0.66804902785344378</v>
      </c>
      <c r="D143" s="61">
        <f>(Indeks!D143/Indeks!$D$40*Indeks!$D$2)/Indeks!H143*100</f>
        <v>0.1525167091590274</v>
      </c>
      <c r="E143" s="61">
        <f>(Indeks!E143/Indeks!$E$40*Indeks!$E$2)/Indeks!H143*100</f>
        <v>8.4612592449708604E-2</v>
      </c>
      <c r="F143" s="61">
        <f>(Indeks!F143/Indeks!$F$40*Indeks!$F$2)/Indeks!H143*100</f>
        <v>8.7839790452148556E-2</v>
      </c>
      <c r="G143" s="61">
        <f>(Indeks!G143/Indeks!$G$40*Indeks!$G$2)/Indeks!H143*100</f>
        <v>6.9818800856716679E-3</v>
      </c>
      <c r="H143" s="61">
        <f t="shared" si="17"/>
        <v>1</v>
      </c>
    </row>
    <row r="144" spans="1:8" hidden="1" x14ac:dyDescent="0.2">
      <c r="A144" s="12">
        <f t="shared" si="18"/>
        <v>2016</v>
      </c>
      <c r="B144" s="13" t="s">
        <v>15</v>
      </c>
      <c r="C144" s="62">
        <f>(Indeks!C144/Indeks!$C$40*Indeks!$C$2)/Indeks!H144*100</f>
        <v>0.6707480307449778</v>
      </c>
      <c r="D144" s="62">
        <f>(Indeks!D144/Indeks!$D$40*Indeks!$D$2)/Indeks!H144*100</f>
        <v>0.14866186256766889</v>
      </c>
      <c r="E144" s="62">
        <f>(Indeks!E144/Indeks!$E$40*Indeks!$E$2)/Indeks!H144*100</f>
        <v>8.4869990314506941E-2</v>
      </c>
      <c r="F144" s="62">
        <f>(Indeks!F144/Indeks!$F$40*Indeks!$F$2)/Indeks!H144*100</f>
        <v>8.8359524216788859E-2</v>
      </c>
      <c r="G144" s="62">
        <f>(Indeks!G144/Indeks!$G$40*Indeks!$G$2)/Indeks!H144*100</f>
        <v>7.3605921560575662E-3</v>
      </c>
      <c r="H144" s="62">
        <f t="shared" si="17"/>
        <v>1</v>
      </c>
    </row>
    <row r="145" spans="1:8" hidden="1" x14ac:dyDescent="0.2">
      <c r="A145" s="10">
        <f t="shared" si="18"/>
        <v>2016</v>
      </c>
      <c r="B145" t="s">
        <v>16</v>
      </c>
      <c r="C145" s="61">
        <f>(Indeks!C145/Indeks!$C$40*Indeks!$C$2)/Indeks!H145*100</f>
        <v>0.6740619911795952</v>
      </c>
      <c r="D145" s="61">
        <f>(Indeks!D145/Indeks!$D$40*Indeks!$D$2)/Indeks!H145*100</f>
        <v>0.14551227221604879</v>
      </c>
      <c r="E145" s="61">
        <f>(Indeks!E145/Indeks!$E$40*Indeks!$E$2)/Indeks!H145*100</f>
        <v>8.4642244076392037E-2</v>
      </c>
      <c r="F145" s="61">
        <f>(Indeks!F145/Indeks!$F$40*Indeks!$F$2)/Indeks!H145*100</f>
        <v>8.8303803611636159E-2</v>
      </c>
      <c r="G145" s="61">
        <f>(Indeks!G145/Indeks!$G$40*Indeks!$G$2)/Indeks!H145*100</f>
        <v>7.4796889163277046E-3</v>
      </c>
      <c r="H145" s="61">
        <f t="shared" si="17"/>
        <v>0.99999999999999989</v>
      </c>
    </row>
    <row r="146" spans="1:8" hidden="1" x14ac:dyDescent="0.2">
      <c r="A146" s="10">
        <f t="shared" si="18"/>
        <v>2016</v>
      </c>
      <c r="B146" t="s">
        <v>17</v>
      </c>
      <c r="C146" s="61">
        <f>(Indeks!C146/Indeks!$C$40*Indeks!$C$2)/Indeks!H146*100</f>
        <v>0.67173768029410652</v>
      </c>
      <c r="D146" s="61">
        <f>(Indeks!D146/Indeks!$D$40*Indeks!$D$2)/Indeks!H146*100</f>
        <v>0.14930830149971933</v>
      </c>
      <c r="E146" s="61">
        <f>(Indeks!E146/Indeks!$E$40*Indeks!$E$2)/Indeks!H146*100</f>
        <v>8.4350379393538968E-2</v>
      </c>
      <c r="F146" s="61">
        <f>(Indeks!F146/Indeks!$F$40*Indeks!$F$2)/Indeks!H146*100</f>
        <v>8.8081478641528113E-2</v>
      </c>
      <c r="G146" s="61">
        <f>(Indeks!G146/Indeks!$G$40*Indeks!$G$2)/Indeks!H146*100</f>
        <v>6.5221601711069107E-3</v>
      </c>
      <c r="H146" s="61">
        <f t="shared" si="17"/>
        <v>0.99999999999999989</v>
      </c>
    </row>
    <row r="147" spans="1:8" ht="13.5" hidden="1" thickBot="1" x14ac:dyDescent="0.25">
      <c r="A147" s="30">
        <f t="shared" si="18"/>
        <v>2016</v>
      </c>
      <c r="B147" s="31" t="s">
        <v>18</v>
      </c>
      <c r="C147" s="64">
        <f>(Indeks!C147/Indeks!$C$40*Indeks!$C$2)/Indeks!H147*100</f>
        <v>0.66607356787368832</v>
      </c>
      <c r="D147" s="64">
        <f>(Indeks!D147/Indeks!$D$40*Indeks!$D$2)/Indeks!H147*100</f>
        <v>0.15388922830979196</v>
      </c>
      <c r="E147" s="64">
        <f>(Indeks!E147/Indeks!$E$40*Indeks!$E$2)/Indeks!H147*100</f>
        <v>8.3806078825521366E-2</v>
      </c>
      <c r="F147" s="64">
        <f>(Indeks!F147/Indeks!$F$40*Indeks!$F$2)/Indeks!H147*100</f>
        <v>8.7338772951765647E-2</v>
      </c>
      <c r="G147" s="64">
        <f>(Indeks!G147/Indeks!$G$40*Indeks!$G$2)/Indeks!H147*100</f>
        <v>8.8923520392325799E-3</v>
      </c>
      <c r="H147" s="64">
        <f t="shared" si="17"/>
        <v>0.99999999999999989</v>
      </c>
    </row>
    <row r="148" spans="1:8" hidden="1" x14ac:dyDescent="0.2">
      <c r="A148" s="2">
        <v>2017</v>
      </c>
      <c r="B148" t="s">
        <v>8</v>
      </c>
      <c r="C148" s="61">
        <f>(Indeks!C148/Indeks!$C$40*Indeks!$C$2)/Indeks!H148*100</f>
        <v>0.66922332742214574</v>
      </c>
      <c r="D148" s="61">
        <f>(Indeks!D148/Indeks!$D$40*Indeks!$D$2)/Indeks!H148*100</f>
        <v>0.15054911910293195</v>
      </c>
      <c r="E148" s="61">
        <f>(Indeks!E148/Indeks!$E$40*Indeks!$E$2)/Indeks!H148*100</f>
        <v>8.3796224804446928E-2</v>
      </c>
      <c r="F148" s="61">
        <f>(Indeks!F148/Indeks!$F$40*Indeks!$F$2)/Indeks!H148*100</f>
        <v>8.7415570853849739E-2</v>
      </c>
      <c r="G148" s="61">
        <f>(Indeks!G148/Indeks!$G$40*Indeks!$G$2)/Indeks!H148*100</f>
        <v>9.0157578166256899E-3</v>
      </c>
      <c r="H148" s="61">
        <f t="shared" ref="H148:H159" si="19">SUM(C148:G148)</f>
        <v>1.0000000000000002</v>
      </c>
    </row>
    <row r="149" spans="1:8" hidden="1" x14ac:dyDescent="0.2">
      <c r="A149" s="10">
        <f>A148</f>
        <v>2017</v>
      </c>
      <c r="B149" t="s">
        <v>9</v>
      </c>
      <c r="C149" s="61">
        <f>(Indeks!C149/Indeks!$C$40*Indeks!$C$2)/Indeks!H149*100</f>
        <v>0.66432640419352662</v>
      </c>
      <c r="D149" s="61">
        <f>(Indeks!D149/Indeks!$D$40*Indeks!$D$2)/Indeks!H149*100</f>
        <v>0.15743314544430401</v>
      </c>
      <c r="E149" s="61">
        <f>(Indeks!E149/Indeks!$E$40*Indeks!$E$2)/Indeks!H149*100</f>
        <v>8.3176682561511728E-2</v>
      </c>
      <c r="F149" s="61">
        <f>(Indeks!F149/Indeks!$F$40*Indeks!$F$2)/Indeks!H149*100</f>
        <v>8.6688327715668118E-2</v>
      </c>
      <c r="G149" s="61">
        <f>(Indeks!G149/Indeks!$G$40*Indeks!$G$2)/Indeks!H149*100</f>
        <v>8.3754400849895376E-3</v>
      </c>
      <c r="H149" s="61">
        <f t="shared" si="19"/>
        <v>1</v>
      </c>
    </row>
    <row r="150" spans="1:8" hidden="1" x14ac:dyDescent="0.2">
      <c r="A150" s="12">
        <f t="shared" ref="A150:A159" si="20">A149</f>
        <v>2017</v>
      </c>
      <c r="B150" s="13" t="s">
        <v>10</v>
      </c>
      <c r="C150" s="62">
        <f>(Indeks!C150/Indeks!$C$40*Indeks!$C$2)/Indeks!H150*100</f>
        <v>0.66105115528637859</v>
      </c>
      <c r="D150" s="62">
        <f>(Indeks!D150/Indeks!$D$40*Indeks!$D$2)/Indeks!H150*100</f>
        <v>0.16008969414902047</v>
      </c>
      <c r="E150" s="62">
        <f>(Indeks!E150/Indeks!$E$40*Indeks!$E$2)/Indeks!H150*100</f>
        <v>8.2766606525183611E-2</v>
      </c>
      <c r="F150" s="62">
        <f>(Indeks!F150/Indeks!$F$40*Indeks!$F$2)/Indeks!H150*100</f>
        <v>8.6502565914902671E-2</v>
      </c>
      <c r="G150" s="62">
        <f>(Indeks!G150/Indeks!$G$40*Indeks!$G$2)/Indeks!H150*100</f>
        <v>9.5899781245145071E-3</v>
      </c>
      <c r="H150" s="62">
        <f t="shared" si="19"/>
        <v>0.99999999999999989</v>
      </c>
    </row>
    <row r="151" spans="1:8" hidden="1" x14ac:dyDescent="0.2">
      <c r="A151" s="10">
        <f t="shared" si="20"/>
        <v>2017</v>
      </c>
      <c r="B151" t="s">
        <v>11</v>
      </c>
      <c r="C151" s="61">
        <f>(Indeks!C151/Indeks!$C$40*Indeks!$C$2)/Indeks!H151*100</f>
        <v>0.66398678510366238</v>
      </c>
      <c r="D151" s="61">
        <f>(Indeks!D151/Indeks!$D$40*Indeks!$D$2)/Indeks!H151*100</f>
        <v>0.15711258478972015</v>
      </c>
      <c r="E151" s="61">
        <f>(Indeks!E151/Indeks!$E$40*Indeks!$E$2)/Indeks!H151*100</f>
        <v>8.342012970489518E-2</v>
      </c>
      <c r="F151" s="61">
        <f>(Indeks!F151/Indeks!$F$40*Indeks!$F$2)/Indeks!H151*100</f>
        <v>8.6576228317706005E-2</v>
      </c>
      <c r="G151" s="61">
        <f>(Indeks!G151/Indeks!$G$40*Indeks!$G$2)/Indeks!H151*100</f>
        <v>8.9042720840163576E-3</v>
      </c>
      <c r="H151" s="61">
        <f t="shared" si="19"/>
        <v>1.0000000000000002</v>
      </c>
    </row>
    <row r="152" spans="1:8" hidden="1" x14ac:dyDescent="0.2">
      <c r="A152" s="10">
        <f t="shared" si="20"/>
        <v>2017</v>
      </c>
      <c r="B152" t="s">
        <v>12</v>
      </c>
      <c r="C152" s="61">
        <f>(Indeks!C152/Indeks!$C$40*Indeks!$C$2)/Indeks!H152*100</f>
        <v>0.66621688025345482</v>
      </c>
      <c r="D152" s="61">
        <f>(Indeks!D152/Indeks!$D$40*Indeks!$D$2)/Indeks!H152*100</f>
        <v>0.15513555866974502</v>
      </c>
      <c r="E152" s="61">
        <f>(Indeks!E152/Indeks!$E$40*Indeks!$E$2)/Indeks!H152*100</f>
        <v>8.3783097835062867E-2</v>
      </c>
      <c r="F152" s="61">
        <f>(Indeks!F152/Indeks!$F$40*Indeks!$F$2)/Indeks!H152*100</f>
        <v>8.7190233109481236E-2</v>
      </c>
      <c r="G152" s="61">
        <f>(Indeks!G152/Indeks!$G$40*Indeks!$G$2)/Indeks!H152*100</f>
        <v>7.6742301322561364E-3</v>
      </c>
      <c r="H152" s="61">
        <f t="shared" si="19"/>
        <v>1.0000000000000002</v>
      </c>
    </row>
    <row r="153" spans="1:8" hidden="1" x14ac:dyDescent="0.2">
      <c r="A153" s="12">
        <f t="shared" si="20"/>
        <v>2017</v>
      </c>
      <c r="B153" s="13" t="s">
        <v>13</v>
      </c>
      <c r="C153" s="62">
        <f>(Indeks!C153/Indeks!$C$40*Indeks!$C$2)/Indeks!H153*100</f>
        <v>0.66373577456396504</v>
      </c>
      <c r="D153" s="62">
        <f>(Indeks!D153/Indeks!$D$40*Indeks!$D$2)/Indeks!H153*100</f>
        <v>0.15736511358471536</v>
      </c>
      <c r="E153" s="62">
        <f>(Indeks!E153/Indeks!$E$40*Indeks!$E$2)/Indeks!H153*100</f>
        <v>8.3636037837979668E-2</v>
      </c>
      <c r="F153" s="62">
        <f>(Indeks!F153/Indeks!$F$40*Indeks!$F$2)/Indeks!H153*100</f>
        <v>8.6704510596457396E-2</v>
      </c>
      <c r="G153" s="62">
        <f>(Indeks!G153/Indeks!$G$40*Indeks!$G$2)/Indeks!H153*100</f>
        <v>8.5585634168824972E-3</v>
      </c>
      <c r="H153" s="62">
        <f t="shared" si="19"/>
        <v>1</v>
      </c>
    </row>
    <row r="154" spans="1:8" hidden="1" x14ac:dyDescent="0.2">
      <c r="A154" s="10">
        <f t="shared" si="20"/>
        <v>2017</v>
      </c>
      <c r="B154" t="s">
        <v>30</v>
      </c>
      <c r="C154" s="61">
        <f>(Indeks!C154/Indeks!$C$40*Indeks!$C$2)/Indeks!H154*100</f>
        <v>0.66815052486174498</v>
      </c>
      <c r="D154" s="61">
        <f>(Indeks!D154/Indeks!$D$40*Indeks!$D$2)/Indeks!H154*100</f>
        <v>0.15225444214772238</v>
      </c>
      <c r="E154" s="61">
        <f>(Indeks!E154/Indeks!$E$40*Indeks!$E$2)/Indeks!H154*100</f>
        <v>8.3917271546185196E-2</v>
      </c>
      <c r="F154" s="61">
        <f>(Indeks!F154/Indeks!$F$40*Indeks!$F$2)/Indeks!H154*100</f>
        <v>8.7081941947780198E-2</v>
      </c>
      <c r="G154" s="61">
        <f>(Indeks!G154/Indeks!$G$40*Indeks!$G$2)/Indeks!H154*100</f>
        <v>8.5958194965673283E-3</v>
      </c>
      <c r="H154" s="61">
        <f t="shared" si="19"/>
        <v>1</v>
      </c>
    </row>
    <row r="155" spans="1:8" hidden="1" x14ac:dyDescent="0.2">
      <c r="A155" s="10">
        <f t="shared" si="20"/>
        <v>2017</v>
      </c>
      <c r="B155" t="s">
        <v>14</v>
      </c>
      <c r="C155" s="61">
        <f>(Indeks!C155/Indeks!$C$40*Indeks!$C$2)/Indeks!H155*100</f>
        <v>0.67184243166953617</v>
      </c>
      <c r="D155" s="61">
        <f>(Indeks!D155/Indeks!$D$40*Indeks!$D$2)/Indeks!H155*100</f>
        <v>0.14852806237038982</v>
      </c>
      <c r="E155" s="61">
        <f>(Indeks!E155/Indeks!$E$40*Indeks!$E$2)/Indeks!H155*100</f>
        <v>8.4297663503481099E-2</v>
      </c>
      <c r="F155" s="61">
        <f>(Indeks!F155/Indeks!$F$40*Indeks!$F$2)/Indeks!H155*100</f>
        <v>8.772572417795238E-2</v>
      </c>
      <c r="G155" s="61">
        <f>(Indeks!G155/Indeks!$G$40*Indeks!$G$2)/Indeks!H155*100</f>
        <v>7.6061182786406429E-3</v>
      </c>
      <c r="H155" s="61">
        <f t="shared" si="19"/>
        <v>1.0000000000000002</v>
      </c>
    </row>
    <row r="156" spans="1:8" hidden="1" x14ac:dyDescent="0.2">
      <c r="A156" s="12">
        <f t="shared" si="20"/>
        <v>2017</v>
      </c>
      <c r="B156" s="13" t="s">
        <v>15</v>
      </c>
      <c r="C156" s="62">
        <f>(Indeks!C156/Indeks!$C$40*Indeks!$C$2)/Indeks!H156*100</f>
        <v>0.67135424565021373</v>
      </c>
      <c r="D156" s="62">
        <f>(Indeks!D156/Indeks!$D$40*Indeks!$D$2)/Indeks!H156*100</f>
        <v>0.1484201362851825</v>
      </c>
      <c r="E156" s="62">
        <f>(Indeks!E156/Indeks!$E$40*Indeks!$E$2)/Indeks!H156*100</f>
        <v>8.490231011717278E-2</v>
      </c>
      <c r="F156" s="62">
        <f>(Indeks!F156/Indeks!$F$40*Indeks!$F$2)/Indeks!H156*100</f>
        <v>8.8068197987518568E-2</v>
      </c>
      <c r="G156" s="62">
        <f>(Indeks!G156/Indeks!$G$40*Indeks!$G$2)/Indeks!H156*100</f>
        <v>7.2551099599125158E-3</v>
      </c>
      <c r="H156" s="62">
        <f t="shared" si="19"/>
        <v>1</v>
      </c>
    </row>
    <row r="157" spans="1:8" hidden="1" x14ac:dyDescent="0.2">
      <c r="A157" s="10">
        <f t="shared" si="20"/>
        <v>2017</v>
      </c>
      <c r="B157" t="s">
        <v>16</v>
      </c>
      <c r="C157" s="61">
        <f>(Indeks!C157/Indeks!$C$40*Indeks!$C$2)/Indeks!H157*100</f>
        <v>0.67327177437410579</v>
      </c>
      <c r="D157" s="61">
        <f>(Indeks!D157/Indeks!$D$40*Indeks!$D$2)/Indeks!H157*100</f>
        <v>0.14810022073670043</v>
      </c>
      <c r="E157" s="61">
        <f>(Indeks!E157/Indeks!$E$40*Indeks!$E$2)/Indeks!H157*100</f>
        <v>8.4380650008477401E-2</v>
      </c>
      <c r="F157" s="61">
        <f>(Indeks!F157/Indeks!$F$40*Indeks!$F$2)/Indeks!H157*100</f>
        <v>8.7704295171351032E-2</v>
      </c>
      <c r="G157" s="61">
        <f>(Indeks!G157/Indeks!$G$40*Indeks!$G$2)/Indeks!H157*100</f>
        <v>6.5430597093652631E-3</v>
      </c>
      <c r="H157" s="61">
        <f t="shared" si="19"/>
        <v>1</v>
      </c>
    </row>
    <row r="158" spans="1:8" hidden="1" x14ac:dyDescent="0.2">
      <c r="A158" s="10">
        <f t="shared" si="20"/>
        <v>2017</v>
      </c>
      <c r="B158" t="s">
        <v>17</v>
      </c>
      <c r="C158" s="61">
        <f>(Indeks!C158/Indeks!$C$40*Indeks!$C$2)/Indeks!H158*100</f>
        <v>0.67055360025857358</v>
      </c>
      <c r="D158" s="61">
        <f>(Indeks!D158/Indeks!$D$40*Indeks!$D$2)/Indeks!H158*100</f>
        <v>0.15218987457792701</v>
      </c>
      <c r="E158" s="61">
        <f>(Indeks!E158/Indeks!$E$40*Indeks!$E$2)/Indeks!H158*100</f>
        <v>8.4122618456282716E-2</v>
      </c>
      <c r="F158" s="61">
        <f>(Indeks!F158/Indeks!$F$40*Indeks!$F$2)/Indeks!H158*100</f>
        <v>8.7188898449362909E-2</v>
      </c>
      <c r="G158" s="61">
        <f>(Indeks!G158/Indeks!$G$40*Indeks!$G$2)/Indeks!H158*100</f>
        <v>5.9450082578536316E-3</v>
      </c>
      <c r="H158" s="61">
        <f t="shared" si="19"/>
        <v>0.99999999999999978</v>
      </c>
    </row>
    <row r="159" spans="1:8" ht="13.5" hidden="1" thickBot="1" x14ac:dyDescent="0.25">
      <c r="A159" s="30">
        <f t="shared" si="20"/>
        <v>2017</v>
      </c>
      <c r="B159" s="31" t="s">
        <v>18</v>
      </c>
      <c r="C159" s="64">
        <f>(Indeks!C159/Indeks!$C$40*Indeks!$C$2)/Indeks!H159*100</f>
        <v>0.66725458854421249</v>
      </c>
      <c r="D159" s="64">
        <f>(Indeks!D159/Indeks!$D$40*Indeks!$D$2)/Indeks!H159*100</f>
        <v>0.15470628355788107</v>
      </c>
      <c r="E159" s="64">
        <f>(Indeks!E159/Indeks!$E$40*Indeks!$E$2)/Indeks!H159*100</f>
        <v>8.3790977857835361E-2</v>
      </c>
      <c r="F159" s="64">
        <f>(Indeks!F159/Indeks!$F$40*Indeks!$F$2)/Indeks!H159*100</f>
        <v>8.708097950080565E-2</v>
      </c>
      <c r="G159" s="64">
        <f>(Indeks!G159/Indeks!$G$40*Indeks!$G$2)/Indeks!H159*100</f>
        <v>7.1671705392653828E-3</v>
      </c>
      <c r="H159" s="64">
        <f t="shared" si="19"/>
        <v>1</v>
      </c>
    </row>
    <row r="160" spans="1:8" hidden="1" x14ac:dyDescent="0.2">
      <c r="A160" s="2">
        <v>2018</v>
      </c>
      <c r="B160" t="s">
        <v>8</v>
      </c>
      <c r="C160" s="61">
        <f>(Indeks!C162/Indeks!C$163*Indeks!C$160)/(Indeks!$H162/Indeks!$H$163)</f>
        <v>0.59414917966930147</v>
      </c>
      <c r="D160" s="61">
        <f>(Indeks!D162/Indeks!D$163*Indeks!D$160)/(Indeks!$H162/Indeks!$H$163)</f>
        <v>0.24782619239440018</v>
      </c>
      <c r="E160" s="61">
        <f>(Indeks!E162/Indeks!E$163*Indeks!E$160)/(Indeks!$H162/Indeks!$H$163)</f>
        <v>7.3999228132454423E-2</v>
      </c>
      <c r="F160" s="61">
        <f>(Indeks!F162/Indeks!F$163*Indeks!F$160)/(Indeks!$H162/Indeks!$H$163)</f>
        <v>7.7274022200185838E-2</v>
      </c>
      <c r="G160" s="61">
        <f>(Indeks!G162/Indeks!G$163*Indeks!G$160)/(Indeks!$H162/Indeks!$H$163)</f>
        <v>6.7513776036580084E-3</v>
      </c>
      <c r="H160" s="61">
        <f t="shared" ref="H160:H168" si="21">SUM(C160:G160)</f>
        <v>0.99999999999999989</v>
      </c>
    </row>
    <row r="161" spans="1:8" hidden="1" x14ac:dyDescent="0.2">
      <c r="A161" s="10">
        <f>A160</f>
        <v>2018</v>
      </c>
      <c r="B161" t="s">
        <v>9</v>
      </c>
      <c r="C161" s="61">
        <f>(Indeks!C163/Indeks!C$163*Indeks!C$160)/(Indeks!$H163/Indeks!$H$163)</f>
        <v>0.59936718313663395</v>
      </c>
      <c r="D161" s="61">
        <f>(Indeks!D163/Indeks!D$163*Indeks!D$160)/(Indeks!$H163/Indeks!$H$163)</f>
        <v>0.24233755306267946</v>
      </c>
      <c r="E161" s="61">
        <f>(Indeks!E163/Indeks!E$163*Indeks!E$160)/(Indeks!$H163/Indeks!$H$163)</f>
        <v>7.4428691833688568E-2</v>
      </c>
      <c r="F161" s="61">
        <f>(Indeks!F163/Indeks!F$163*Indeks!F$160)/(Indeks!$H163/Indeks!$H$163)</f>
        <v>7.7665812432695561E-2</v>
      </c>
      <c r="G161" s="61">
        <f>(Indeks!G163/Indeks!G$163*Indeks!G$160)/(Indeks!$H163/Indeks!$H$163)</f>
        <v>6.2007595343024731E-3</v>
      </c>
      <c r="H161" s="61">
        <f t="shared" si="21"/>
        <v>1</v>
      </c>
    </row>
    <row r="162" spans="1:8" hidden="1" x14ac:dyDescent="0.2">
      <c r="A162" s="12">
        <f t="shared" ref="A162:A171" si="22">A161</f>
        <v>2018</v>
      </c>
      <c r="B162" s="13" t="s">
        <v>10</v>
      </c>
      <c r="C162" s="62">
        <f>(Indeks!C164/Indeks!C$163*Indeks!C$160)/(Indeks!$H164/Indeks!$H$163)</f>
        <v>0.5937676450170728</v>
      </c>
      <c r="D162" s="62">
        <f>(Indeks!D164/Indeks!D$163*Indeks!D$160)/(Indeks!$H164/Indeks!$H$163)</f>
        <v>0.24719400879742215</v>
      </c>
      <c r="E162" s="62">
        <f>(Indeks!E164/Indeks!E$163*Indeks!E$160)/(Indeks!$H164/Indeks!$H$163)</f>
        <v>7.3514986616570979E-2</v>
      </c>
      <c r="F162" s="62">
        <f>(Indeks!F164/Indeks!F$163*Indeks!F$160)/(Indeks!$H164/Indeks!$H$163)</f>
        <v>7.7366487671736969E-2</v>
      </c>
      <c r="G162" s="62">
        <f>(Indeks!G164/Indeks!G$163*Indeks!G$160)/(Indeks!$H164/Indeks!$H$163)</f>
        <v>8.1568718971971547E-3</v>
      </c>
      <c r="H162" s="62">
        <f t="shared" si="21"/>
        <v>1</v>
      </c>
    </row>
    <row r="163" spans="1:8" hidden="1" x14ac:dyDescent="0.2">
      <c r="A163" s="10">
        <f t="shared" si="22"/>
        <v>2018</v>
      </c>
      <c r="B163" t="s">
        <v>11</v>
      </c>
      <c r="C163" s="61">
        <f>(Indeks!C165/Indeks!C$163*Indeks!C$160)/(Indeks!$H165/Indeks!$H$163)</f>
        <v>0.59544557553435706</v>
      </c>
      <c r="D163" s="61">
        <f>(Indeks!D165/Indeks!D$163*Indeks!D$160)/(Indeks!$H165/Indeks!$H$163)</f>
        <v>0.24548685227675826</v>
      </c>
      <c r="E163" s="61">
        <f>(Indeks!E165/Indeks!E$163*Indeks!E$160)/(Indeks!$H165/Indeks!$H$163)</f>
        <v>7.3955445373546813E-2</v>
      </c>
      <c r="F163" s="61">
        <f>(Indeks!F165/Indeks!F$163*Indeks!F$160)/(Indeks!$H165/Indeks!$H$163)</f>
        <v>7.7365296502092534E-2</v>
      </c>
      <c r="G163" s="61">
        <f>(Indeks!G165/Indeks!G$163*Indeks!G$160)/(Indeks!$H165/Indeks!$H$163)</f>
        <v>7.7468303132453235E-3</v>
      </c>
      <c r="H163" s="61">
        <f t="shared" si="21"/>
        <v>1</v>
      </c>
    </row>
    <row r="164" spans="1:8" hidden="1" x14ac:dyDescent="0.2">
      <c r="A164" s="10">
        <f t="shared" si="22"/>
        <v>2018</v>
      </c>
      <c r="B164" t="s">
        <v>12</v>
      </c>
      <c r="C164" s="61">
        <f>(Indeks!C166/Indeks!C$163*Indeks!C$160)/(Indeks!$H166/Indeks!$H$163)</f>
        <v>0.59724855628443907</v>
      </c>
      <c r="D164" s="61">
        <f>(Indeks!D166/Indeks!D$163*Indeks!D$160)/(Indeks!$H166/Indeks!$H$163)</f>
        <v>0.24471591485892302</v>
      </c>
      <c r="E164" s="61">
        <f>(Indeks!E166/Indeks!E$163*Indeks!E$160)/(Indeks!$H166/Indeks!$H$163)</f>
        <v>7.4179378928267731E-2</v>
      </c>
      <c r="F164" s="61">
        <f>(Indeks!F166/Indeks!F$163*Indeks!F$160)/(Indeks!$H166/Indeks!$H$163)</f>
        <v>7.7599554923095143E-2</v>
      </c>
      <c r="G164" s="61">
        <f>(Indeks!G166/Indeks!G$163*Indeks!G$160)/(Indeks!$H166/Indeks!$H$163)</f>
        <v>6.2565950052751321E-3</v>
      </c>
      <c r="H164" s="61">
        <f t="shared" si="21"/>
        <v>1</v>
      </c>
    </row>
    <row r="165" spans="1:8" hidden="1" x14ac:dyDescent="0.2">
      <c r="A165" s="12">
        <f t="shared" si="22"/>
        <v>2018</v>
      </c>
      <c r="B165" s="13" t="s">
        <v>13</v>
      </c>
      <c r="C165" s="62">
        <f>(Indeks!C167/Indeks!C$163*Indeks!C$160)/(Indeks!$H167/Indeks!$H$163)</f>
        <v>0.59185774749846709</v>
      </c>
      <c r="D165" s="62">
        <f>(Indeks!D167/Indeks!D$163*Indeks!D$160)/(Indeks!$H167/Indeks!$H$163)</f>
        <v>0.24970118119465468</v>
      </c>
      <c r="E165" s="62">
        <f>(Indeks!E167/Indeks!E$163*Indeks!E$160)/(Indeks!$H167/Indeks!$H$163)</f>
        <v>7.3871235736916549E-2</v>
      </c>
      <c r="F165" s="62">
        <f>(Indeks!F167/Indeks!F$163*Indeks!F$160)/(Indeks!$H167/Indeks!$H$163)</f>
        <v>7.6969685378048103E-2</v>
      </c>
      <c r="G165" s="62">
        <f>(Indeks!G167/Indeks!G$163*Indeks!G$160)/(Indeks!$H167/Indeks!$H$163)</f>
        <v>7.6001501919137661E-3</v>
      </c>
      <c r="H165" s="62">
        <f t="shared" si="21"/>
        <v>1.0000000000000002</v>
      </c>
    </row>
    <row r="166" spans="1:8" hidden="1" x14ac:dyDescent="0.2">
      <c r="A166" s="10">
        <f t="shared" si="22"/>
        <v>2018</v>
      </c>
      <c r="B166" t="s">
        <v>30</v>
      </c>
      <c r="C166" s="217">
        <f>(Indeks!C168/Indeks!C$163*Indeks!C$160)/(Indeks!$H168/Indeks!$H$163)</f>
        <v>0.59250252728438835</v>
      </c>
      <c r="D166" s="217">
        <f>(Indeks!D168/Indeks!D$163*Indeks!D$160)/(Indeks!$H168/Indeks!$H$163)</f>
        <v>0.25097422426058902</v>
      </c>
      <c r="E166" s="217">
        <f>(Indeks!E168/Indeks!E$163*Indeks!E$160)/(Indeks!$H168/Indeks!$H$163)</f>
        <v>7.3764656829088643E-2</v>
      </c>
      <c r="F166" s="217">
        <f>(Indeks!F168/Indeks!F$163*Indeks!F$160)/(Indeks!$H168/Indeks!$H$163)</f>
        <v>7.6778831894324509E-2</v>
      </c>
      <c r="G166" s="217">
        <f>(Indeks!G168/Indeks!G$163*Indeks!G$160)/(Indeks!$H168/Indeks!$H$163)</f>
        <v>5.9797597316093272E-3</v>
      </c>
      <c r="H166" s="217">
        <f t="shared" si="21"/>
        <v>0.99999999999999989</v>
      </c>
    </row>
    <row r="167" spans="1:8" hidden="1" x14ac:dyDescent="0.2">
      <c r="A167" s="10">
        <f t="shared" si="22"/>
        <v>2018</v>
      </c>
      <c r="B167" t="s">
        <v>14</v>
      </c>
      <c r="C167" s="61">
        <f>(Indeks!C169/Indeks!C$163*Indeks!C$160)/(Indeks!$H169/Indeks!$H$163)</f>
        <v>0.59252111932042362</v>
      </c>
      <c r="D167" s="61">
        <f>(Indeks!D169/Indeks!D$163*Indeks!D$160)/(Indeks!$H169/Indeks!$H$163)</f>
        <v>0.25242354421140301</v>
      </c>
      <c r="E167" s="61">
        <f>(Indeks!E169/Indeks!E$163*Indeks!E$160)/(Indeks!$H169/Indeks!$H$163)</f>
        <v>7.3694933419626255E-2</v>
      </c>
      <c r="F167" s="61">
        <f>(Indeks!F169/Indeks!F$163*Indeks!F$160)/(Indeks!$H169/Indeks!$H$163)</f>
        <v>7.6078116205512469E-2</v>
      </c>
      <c r="G167" s="61">
        <f>(Indeks!G169/Indeks!G$163*Indeks!G$160)/(Indeks!$H169/Indeks!$H$163)</f>
        <v>5.2822868430344424E-3</v>
      </c>
      <c r="H167" s="61">
        <f t="shared" si="21"/>
        <v>0.99999999999999978</v>
      </c>
    </row>
    <row r="168" spans="1:8" hidden="1" x14ac:dyDescent="0.2">
      <c r="A168" s="12">
        <f t="shared" si="22"/>
        <v>2018</v>
      </c>
      <c r="B168" s="13" t="s">
        <v>15</v>
      </c>
      <c r="C168" s="62">
        <f>(Indeks!C170/Indeks!C$163*Indeks!C$160)/(Indeks!$H170/Indeks!$H$163)</f>
        <v>0.58262404703781068</v>
      </c>
      <c r="D168" s="62">
        <f>(Indeks!D170/Indeks!D$163*Indeks!D$160)/(Indeks!$H170/Indeks!$H$163)</f>
        <v>0.26294903913327833</v>
      </c>
      <c r="E168" s="62">
        <f>(Indeks!E170/Indeks!E$163*Indeks!E$160)/(Indeks!$H170/Indeks!$H$163)</f>
        <v>7.3030661327795912E-2</v>
      </c>
      <c r="F168" s="62">
        <f>(Indeks!F170/Indeks!F$163*Indeks!F$160)/(Indeks!$H170/Indeks!$H$163)</f>
        <v>7.5222187012031635E-2</v>
      </c>
      <c r="G168" s="62">
        <f>(Indeks!G170/Indeks!G$163*Indeks!G$160)/(Indeks!$H170/Indeks!$H$163)</f>
        <v>6.1740654890832638E-3</v>
      </c>
      <c r="H168" s="62">
        <f t="shared" si="21"/>
        <v>0.99999999999999989</v>
      </c>
    </row>
    <row r="169" spans="1:8" hidden="1" x14ac:dyDescent="0.2">
      <c r="A169" s="10">
        <f t="shared" si="22"/>
        <v>2018</v>
      </c>
      <c r="B169" t="s">
        <v>16</v>
      </c>
      <c r="C169" s="61">
        <f>(Indeks!C171/Indeks!C$163*Indeks!C$160)/(Indeks!$H171/Indeks!$H$163)</f>
        <v>0.58449167238501487</v>
      </c>
      <c r="D169" s="61">
        <f>(Indeks!D171/Indeks!D$163*Indeks!D$160)/(Indeks!$H171/Indeks!$H$163)</f>
        <v>0.26172725186048995</v>
      </c>
      <c r="E169" s="61">
        <f>(Indeks!E171/Indeks!E$163*Indeks!E$160)/(Indeks!$H171/Indeks!$H$163)</f>
        <v>7.233276066347262E-2</v>
      </c>
      <c r="F169" s="61">
        <f>(Indeks!F171/Indeks!F$163*Indeks!F$160)/(Indeks!$H171/Indeks!$H$163)</f>
        <v>7.4724778045342374E-2</v>
      </c>
      <c r="G169" s="61">
        <f>(Indeks!G171/Indeks!G$163*Indeks!G$160)/(Indeks!$H171/Indeks!$H$163)</f>
        <v>6.7235370456801419E-3</v>
      </c>
      <c r="H169" s="61">
        <f t="shared" ref="H169:H183" si="23">SUM(C169:G169)</f>
        <v>1</v>
      </c>
    </row>
    <row r="170" spans="1:8" hidden="1" x14ac:dyDescent="0.2">
      <c r="A170" s="10">
        <f t="shared" si="22"/>
        <v>2018</v>
      </c>
      <c r="B170" t="s">
        <v>17</v>
      </c>
      <c r="C170" s="61">
        <f>(Indeks!C172/Indeks!C$163*Indeks!C$160)/(Indeks!$H172/Indeks!$H$163)</f>
        <v>0.583130872755659</v>
      </c>
      <c r="D170" s="61">
        <f>(Indeks!D172/Indeks!D$163*Indeks!D$160)/(Indeks!$H172/Indeks!$H$163)</f>
        <v>0.2642461671130456</v>
      </c>
      <c r="E170" s="61">
        <f>(Indeks!E172/Indeks!E$163*Indeks!E$160)/(Indeks!$H172/Indeks!$H$163)</f>
        <v>7.1953555815023093E-2</v>
      </c>
      <c r="F170" s="61">
        <f>(Indeks!F172/Indeks!F$163*Indeks!F$160)/(Indeks!$H172/Indeks!$H$163)</f>
        <v>7.5030893576381527E-2</v>
      </c>
      <c r="G170" s="61">
        <f>(Indeks!G172/Indeks!G$163*Indeks!G$160)/(Indeks!$H172/Indeks!$H$163)</f>
        <v>5.6385107398904981E-3</v>
      </c>
      <c r="H170" s="61">
        <f t="shared" si="23"/>
        <v>0.99999999999999967</v>
      </c>
    </row>
    <row r="171" spans="1:8" hidden="1" x14ac:dyDescent="0.2">
      <c r="A171" s="12">
        <f t="shared" si="22"/>
        <v>2018</v>
      </c>
      <c r="B171" s="13" t="s">
        <v>18</v>
      </c>
      <c r="C171" s="62">
        <f>(Indeks!C173/Indeks!C$163*Indeks!C$160)/(Indeks!$H173/Indeks!$H$163)</f>
        <v>0.58011281172494544</v>
      </c>
      <c r="D171" s="62">
        <f>(Indeks!D173/Indeks!D$163*Indeks!D$160)/(Indeks!$H173/Indeks!$H$163)</f>
        <v>0.26711644008355528</v>
      </c>
      <c r="E171" s="62">
        <f>(Indeks!E173/Indeks!E$163*Indeks!E$160)/(Indeks!$H173/Indeks!$H$163)</f>
        <v>7.1790862301069833E-2</v>
      </c>
      <c r="F171" s="62">
        <f>(Indeks!F173/Indeks!F$163*Indeks!F$160)/(Indeks!$H173/Indeks!$H$163)</f>
        <v>7.4983707707278788E-2</v>
      </c>
      <c r="G171" s="62">
        <f>(Indeks!G173/Indeks!G$163*Indeks!G$160)/(Indeks!$H173/Indeks!$H$163)</f>
        <v>5.9961781831507225E-3</v>
      </c>
      <c r="H171" s="62">
        <f t="shared" si="23"/>
        <v>1</v>
      </c>
    </row>
    <row r="172" spans="1:8" hidden="1" x14ac:dyDescent="0.2">
      <c r="A172" s="2">
        <v>2019</v>
      </c>
      <c r="B172" t="s">
        <v>8</v>
      </c>
      <c r="C172" s="61">
        <f>(Indeks!C174/Indeks!C$163*Indeks!C$160)/(Indeks!$H174/Indeks!$H$163)</f>
        <v>0.58148483499195802</v>
      </c>
      <c r="D172" s="61">
        <f>(Indeks!D174/Indeks!D$163*Indeks!D$160)/(Indeks!$H174/Indeks!$H$163)</f>
        <v>0.26617244140786894</v>
      </c>
      <c r="E172" s="61">
        <f>(Indeks!E174/Indeks!E$163*Indeks!E$160)/(Indeks!$H174/Indeks!$H$163)</f>
        <v>7.143343599702992E-2</v>
      </c>
      <c r="F172" s="61">
        <f>(Indeks!F174/Indeks!F$163*Indeks!F$160)/(Indeks!$H174/Indeks!$H$163)</f>
        <v>7.4828970245902598E-2</v>
      </c>
      <c r="G172" s="61">
        <f>(Indeks!G174/Indeks!G$163*Indeks!G$160)/(Indeks!$H174/Indeks!$H$163)</f>
        <v>6.0803173572406572E-3</v>
      </c>
      <c r="H172" s="61">
        <f t="shared" si="23"/>
        <v>1</v>
      </c>
    </row>
    <row r="173" spans="1:8" hidden="1" x14ac:dyDescent="0.2">
      <c r="A173" s="10">
        <f>A172</f>
        <v>2019</v>
      </c>
      <c r="B173" t="s">
        <v>9</v>
      </c>
      <c r="C173" s="61">
        <f>(Indeks!C175/Indeks!C$163*Indeks!C$160)/(Indeks!$H175/Indeks!$H$163)</f>
        <v>0.58813462050618759</v>
      </c>
      <c r="D173" s="61">
        <f>(Indeks!D175/Indeks!D$163*Indeks!D$160)/(Indeks!$H175/Indeks!$H$163)</f>
        <v>0.25812988885427296</v>
      </c>
      <c r="E173" s="61">
        <f>(Indeks!E175/Indeks!E$163*Indeks!E$160)/(Indeks!$H175/Indeks!$H$163)</f>
        <v>7.2038668633729472E-2</v>
      </c>
      <c r="F173" s="61">
        <f>(Indeks!F175/Indeks!F$163*Indeks!F$160)/(Indeks!$H175/Indeks!$H$163)</f>
        <v>7.5546970924126322E-2</v>
      </c>
      <c r="G173" s="61">
        <f>(Indeks!G175/Indeks!G$163*Indeks!G$160)/(Indeks!$H175/Indeks!$H$163)</f>
        <v>6.1498510816836291E-3</v>
      </c>
      <c r="H173" s="61">
        <f t="shared" si="23"/>
        <v>1</v>
      </c>
    </row>
    <row r="174" spans="1:8" hidden="1" x14ac:dyDescent="0.2">
      <c r="A174" s="12">
        <f t="shared" ref="A174:A183" si="24">A173</f>
        <v>2019</v>
      </c>
      <c r="B174" s="13" t="s">
        <v>10</v>
      </c>
      <c r="C174" s="62">
        <f>(Indeks!C176/Indeks!C$163*Indeks!C$160)/(Indeks!$H176/Indeks!$H$163)</f>
        <v>0.59023717422700406</v>
      </c>
      <c r="D174" s="62">
        <f>(Indeks!D176/Indeks!D$163*Indeks!D$160)/(Indeks!$H176/Indeks!$H$163)</f>
        <v>0.25506583867621291</v>
      </c>
      <c r="E174" s="62">
        <f>(Indeks!E176/Indeks!E$163*Indeks!E$160)/(Indeks!$H176/Indeks!$H$163)</f>
        <v>7.2437821920069645E-2</v>
      </c>
      <c r="F174" s="62">
        <f>(Indeks!F176/Indeks!F$163*Indeks!F$160)/(Indeks!$H176/Indeks!$H$163)</f>
        <v>7.5597500370920487E-2</v>
      </c>
      <c r="G174" s="62">
        <f>(Indeks!G176/Indeks!G$163*Indeks!G$160)/(Indeks!$H176/Indeks!$H$163)</f>
        <v>6.6616648057928763E-3</v>
      </c>
      <c r="H174" s="62">
        <f t="shared" si="23"/>
        <v>1</v>
      </c>
    </row>
    <row r="175" spans="1:8" hidden="1" x14ac:dyDescent="0.2">
      <c r="A175" s="10">
        <f t="shared" si="24"/>
        <v>2019</v>
      </c>
      <c r="B175" t="s">
        <v>11</v>
      </c>
      <c r="C175" s="61">
        <f>(Indeks!C177/Indeks!C$163*Indeks!C$160)/(Indeks!$H177/Indeks!$H$163)</f>
        <v>0.58650560877938651</v>
      </c>
      <c r="D175" s="61">
        <f>(Indeks!D177/Indeks!D$163*Indeks!D$160)/(Indeks!$H177/Indeks!$H$163)</f>
        <v>0.26114407947064566</v>
      </c>
      <c r="E175" s="61">
        <f>(Indeks!E177/Indeks!E$163*Indeks!E$160)/(Indeks!$H177/Indeks!$H$163)</f>
        <v>7.2013492682135569E-2</v>
      </c>
      <c r="F175" s="61">
        <f>(Indeks!F177/Indeks!F$163*Indeks!F$160)/(Indeks!$H177/Indeks!$H$163)</f>
        <v>7.5006323778056494E-2</v>
      </c>
      <c r="G175" s="61">
        <f>(Indeks!G177/Indeks!G$163*Indeks!G$160)/(Indeks!$H177/Indeks!$H$163)</f>
        <v>5.3304952897759881E-3</v>
      </c>
      <c r="H175" s="61">
        <f t="shared" si="23"/>
        <v>1.0000000000000002</v>
      </c>
    </row>
    <row r="176" spans="1:8" hidden="1" x14ac:dyDescent="0.2">
      <c r="A176" s="10">
        <f t="shared" si="24"/>
        <v>2019</v>
      </c>
      <c r="B176" t="s">
        <v>12</v>
      </c>
      <c r="C176" s="61">
        <f>(Indeks!C178/Indeks!C$163*Indeks!C$160)/(Indeks!$H178/Indeks!$H$163)</f>
        <v>0.58733780241276823</v>
      </c>
      <c r="D176" s="61">
        <f>(Indeks!D178/Indeks!D$163*Indeks!D$160)/(Indeks!$H178/Indeks!$H$163)</f>
        <v>0.25995306167819898</v>
      </c>
      <c r="E176" s="61">
        <f>(Indeks!E178/Indeks!E$163*Indeks!E$160)/(Indeks!$H178/Indeks!$H$163)</f>
        <v>7.2185824160824419E-2</v>
      </c>
      <c r="F176" s="61">
        <f>(Indeks!F178/Indeks!F$163*Indeks!F$160)/(Indeks!$H178/Indeks!$H$163)</f>
        <v>7.5185253011166797E-2</v>
      </c>
      <c r="G176" s="61">
        <f>(Indeks!G178/Indeks!G$163*Indeks!G$160)/(Indeks!$H178/Indeks!$H$163)</f>
        <v>5.3380587370414892E-3</v>
      </c>
      <c r="H176" s="61">
        <f t="shared" si="23"/>
        <v>1</v>
      </c>
    </row>
    <row r="177" spans="1:8" hidden="1" x14ac:dyDescent="0.2">
      <c r="A177" s="12">
        <f t="shared" si="24"/>
        <v>2019</v>
      </c>
      <c r="B177" s="13" t="s">
        <v>13</v>
      </c>
      <c r="C177" s="62">
        <f>(Indeks!C179/Indeks!C$163*Indeks!C$160)/(Indeks!$H179/Indeks!$H$163)</f>
        <v>0.58482200984025801</v>
      </c>
      <c r="D177" s="62">
        <f>(Indeks!D179/Indeks!D$163*Indeks!D$160)/(Indeks!$H179/Indeks!$H$163)</f>
        <v>0.26194931674398741</v>
      </c>
      <c r="E177" s="62">
        <f>(Indeks!E179/Indeks!E$163*Indeks!E$160)/(Indeks!$H179/Indeks!$H$163)</f>
        <v>7.2086177493133882E-2</v>
      </c>
      <c r="F177" s="62">
        <f>(Indeks!F179/Indeks!F$163*Indeks!F$160)/(Indeks!$H179/Indeks!$H$163)</f>
        <v>7.5440742585671863E-2</v>
      </c>
      <c r="G177" s="62">
        <f>(Indeks!G179/Indeks!G$163*Indeks!G$160)/(Indeks!$H179/Indeks!$H$163)</f>
        <v>5.7017533369488147E-3</v>
      </c>
      <c r="H177" s="62">
        <f t="shared" si="23"/>
        <v>0.99999999999999989</v>
      </c>
    </row>
    <row r="178" spans="1:8" hidden="1" x14ac:dyDescent="0.2">
      <c r="A178" s="10">
        <f t="shared" si="24"/>
        <v>2019</v>
      </c>
      <c r="B178" t="s">
        <v>30</v>
      </c>
      <c r="C178" s="217">
        <f>(Indeks!C180/Indeks!C$163*Indeks!C$160)/(Indeks!$H180/Indeks!$H$163)</f>
        <v>0.58177978438251232</v>
      </c>
      <c r="D178" s="217">
        <f>(Indeks!D180/Indeks!D$163*Indeks!D$160)/(Indeks!$H180/Indeks!$H$163)</f>
        <v>0.26620147961661422</v>
      </c>
      <c r="E178" s="217">
        <f>(Indeks!E180/Indeks!E$163*Indeks!E$160)/(Indeks!$H180/Indeks!$H$163)</f>
        <v>7.1536807231091723E-2</v>
      </c>
      <c r="F178" s="217">
        <f>(Indeks!F180/Indeks!F$163*Indeks!F$160)/(Indeks!$H180/Indeks!$H$163)</f>
        <v>7.5010133271448107E-2</v>
      </c>
      <c r="G178" s="217">
        <f>(Indeks!G180/Indeks!G$163*Indeks!G$160)/(Indeks!$H180/Indeks!$H$163)</f>
        <v>5.4717954983336493E-3</v>
      </c>
      <c r="H178" s="217">
        <f t="shared" si="23"/>
        <v>1</v>
      </c>
    </row>
    <row r="179" spans="1:8" hidden="1" x14ac:dyDescent="0.2">
      <c r="A179" s="10">
        <f t="shared" si="24"/>
        <v>2019</v>
      </c>
      <c r="B179" t="s">
        <v>14</v>
      </c>
      <c r="C179" s="61">
        <f>(Indeks!C181/Indeks!C$163*Indeks!C$160)/(Indeks!$H181/Indeks!$H$163)</f>
        <v>0.5928424413013943</v>
      </c>
      <c r="D179" s="61">
        <f>(Indeks!D181/Indeks!D$163*Indeks!D$160)/(Indeks!$H181/Indeks!$H$163)</f>
        <v>0.25385805941629075</v>
      </c>
      <c r="E179" s="61">
        <f>(Indeks!E181/Indeks!E$163*Indeks!E$160)/(Indeks!$H181/Indeks!$H$163)</f>
        <v>7.2755683214463587E-2</v>
      </c>
      <c r="F179" s="61">
        <f>(Indeks!F181/Indeks!F$163*Indeks!F$160)/(Indeks!$H181/Indeks!$H$163)</f>
        <v>7.6728765755001579E-2</v>
      </c>
      <c r="G179" s="61">
        <f>(Indeks!G181/Indeks!G$163*Indeks!G$160)/(Indeks!$H181/Indeks!$H$163)</f>
        <v>3.815050312849586E-3</v>
      </c>
      <c r="H179" s="61">
        <f t="shared" si="23"/>
        <v>0.99999999999999978</v>
      </c>
    </row>
    <row r="180" spans="1:8" hidden="1" x14ac:dyDescent="0.2">
      <c r="A180" s="12">
        <f t="shared" si="24"/>
        <v>2019</v>
      </c>
      <c r="B180" s="13" t="s">
        <v>15</v>
      </c>
      <c r="C180" s="62">
        <f>(Indeks!C182/Indeks!C$163*Indeks!C$160)/(Indeks!$H182/Indeks!$H$163)</f>
        <v>0.59031004625186867</v>
      </c>
      <c r="D180" s="62">
        <f>(Indeks!D182/Indeks!D$163*Indeks!D$160)/(Indeks!$H182/Indeks!$H$163)</f>
        <v>0.25793608448184452</v>
      </c>
      <c r="E180" s="62">
        <f>(Indeks!E182/Indeks!E$163*Indeks!E$160)/(Indeks!$H182/Indeks!$H$163)</f>
        <v>7.2867318135072454E-2</v>
      </c>
      <c r="F180" s="62">
        <f>(Indeks!F182/Indeks!F$163*Indeks!F$160)/(Indeks!$H182/Indeks!$H$163)</f>
        <v>7.5964432758727954E-2</v>
      </c>
      <c r="G180" s="62">
        <f>(Indeks!G182/Indeks!G$163*Indeks!G$160)/(Indeks!$H182/Indeks!$H$163)</f>
        <v>2.9221183724864037E-3</v>
      </c>
      <c r="H180" s="62">
        <f t="shared" si="23"/>
        <v>1</v>
      </c>
    </row>
    <row r="181" spans="1:8" hidden="1" x14ac:dyDescent="0.2">
      <c r="A181" s="10">
        <f t="shared" si="24"/>
        <v>2019</v>
      </c>
      <c r="B181" t="s">
        <v>16</v>
      </c>
      <c r="C181" s="61">
        <f>(Indeks!C183/Indeks!C$163*Indeks!C$160)/(Indeks!$H183/Indeks!$H$163)</f>
        <v>0.59394512216501583</v>
      </c>
      <c r="D181" s="61">
        <f>(Indeks!D183/Indeks!D$163*Indeks!D$160)/(Indeks!$H183/Indeks!$H$163)</f>
        <v>0.25606912627222123</v>
      </c>
      <c r="E181" s="61">
        <f>(Indeks!E183/Indeks!E$163*Indeks!E$160)/(Indeks!$H183/Indeks!$H$163)</f>
        <v>7.239669300608588E-2</v>
      </c>
      <c r="F181" s="61">
        <f>(Indeks!F183/Indeks!F$163*Indeks!F$160)/(Indeks!$H183/Indeks!$H$163)</f>
        <v>7.5548902108750995E-2</v>
      </c>
      <c r="G181" s="61">
        <f>(Indeks!G183/Indeks!G$163*Indeks!G$160)/(Indeks!$H183/Indeks!$H$163)</f>
        <v>2.0401564479261007E-3</v>
      </c>
      <c r="H181" s="61">
        <f t="shared" si="23"/>
        <v>1</v>
      </c>
    </row>
    <row r="182" spans="1:8" hidden="1" x14ac:dyDescent="0.2">
      <c r="A182" s="10">
        <f t="shared" si="24"/>
        <v>2019</v>
      </c>
      <c r="B182" t="s">
        <v>17</v>
      </c>
      <c r="C182" s="61">
        <f>(Indeks!C184/Indeks!C$163*Indeks!C$160)/(Indeks!$H184/Indeks!$H$163)</f>
        <v>0.59279087788673823</v>
      </c>
      <c r="D182" s="61">
        <f>(Indeks!D184/Indeks!D$163*Indeks!D$160)/(Indeks!$H184/Indeks!$H$163)</f>
        <v>0.25731506961507572</v>
      </c>
      <c r="E182" s="61">
        <f>(Indeks!E184/Indeks!E$163*Indeks!E$160)/(Indeks!$H184/Indeks!$H$163)</f>
        <v>7.2115833937968221E-2</v>
      </c>
      <c r="F182" s="61">
        <f>(Indeks!F184/Indeks!F$163*Indeks!F$160)/(Indeks!$H184/Indeks!$H$163)</f>
        <v>7.5257219304709772E-2</v>
      </c>
      <c r="G182" s="61">
        <f>(Indeks!G184/Indeks!G$163*Indeks!G$160)/(Indeks!$H184/Indeks!$H$163)</f>
        <v>2.5209992555079684E-3</v>
      </c>
      <c r="H182" s="61">
        <f t="shared" si="23"/>
        <v>0.99999999999999989</v>
      </c>
    </row>
    <row r="183" spans="1:8" hidden="1" x14ac:dyDescent="0.2">
      <c r="A183" s="12">
        <f t="shared" si="24"/>
        <v>2019</v>
      </c>
      <c r="B183" s="13" t="s">
        <v>18</v>
      </c>
      <c r="C183" s="62">
        <f>(Indeks!C185/Indeks!C$163*Indeks!C$160)/(Indeks!$H185/Indeks!$H$163)</f>
        <v>0.5903568301604939</v>
      </c>
      <c r="D183" s="62">
        <f>(Indeks!D185/Indeks!D$163*Indeks!D$160)/(Indeks!$H185/Indeks!$H$163)</f>
        <v>0.25945717483275954</v>
      </c>
      <c r="E183" s="62">
        <f>(Indeks!E185/Indeks!E$163*Indeks!E$160)/(Indeks!$H185/Indeks!$H$163)</f>
        <v>7.2098903024698291E-2</v>
      </c>
      <c r="F183" s="62">
        <f>(Indeks!F185/Indeks!F$163*Indeks!F$160)/(Indeks!$H185/Indeks!$H$163)</f>
        <v>7.4803937131605297E-2</v>
      </c>
      <c r="G183" s="62">
        <f>(Indeks!G185/Indeks!G$163*Indeks!G$160)/(Indeks!$H185/Indeks!$H$163)</f>
        <v>3.2831548504427825E-3</v>
      </c>
      <c r="H183" s="62">
        <f t="shared" si="23"/>
        <v>0.99999999999999989</v>
      </c>
    </row>
    <row r="184" spans="1:8" hidden="1" x14ac:dyDescent="0.2">
      <c r="A184" s="2">
        <v>2020</v>
      </c>
      <c r="B184" t="s">
        <v>8</v>
      </c>
      <c r="C184" s="61">
        <f>(Indeks!C186/Indeks!C$163*Indeks!C$160)/(Indeks!$H186/Indeks!$H$163)</f>
        <v>0.5949297160821958</v>
      </c>
      <c r="D184" s="61">
        <f>(Indeks!D186/Indeks!D$163*Indeks!D$160)/(Indeks!$H186/Indeks!$H$163)</f>
        <v>0.25565410079149015</v>
      </c>
      <c r="E184" s="61">
        <f>(Indeks!E186/Indeks!E$163*Indeks!E$160)/(Indeks!$H186/Indeks!$H$163)</f>
        <v>7.2098139507980691E-2</v>
      </c>
      <c r="F184" s="61">
        <f>(Indeks!F186/Indeks!F$163*Indeks!F$160)/(Indeks!$H186/Indeks!$H$163)</f>
        <v>7.5092801134285611E-2</v>
      </c>
      <c r="G184" s="61">
        <f>(Indeks!G186/Indeks!G$163*Indeks!G$160)/(Indeks!$H186/Indeks!$H$163)</f>
        <v>2.2252424840476788E-3</v>
      </c>
      <c r="H184" s="61">
        <f t="shared" ref="H184:H195" si="25">SUM(C184:G184)</f>
        <v>0.99999999999999989</v>
      </c>
    </row>
    <row r="185" spans="1:8" hidden="1" x14ac:dyDescent="0.2">
      <c r="A185" s="10">
        <f>A184</f>
        <v>2020</v>
      </c>
      <c r="B185" t="s">
        <v>9</v>
      </c>
      <c r="C185" s="61">
        <f>(Indeks!C187/Indeks!C$163*Indeks!C$160)/(Indeks!$H187/Indeks!$H$163)</f>
        <v>0.59373378237401275</v>
      </c>
      <c r="D185" s="61">
        <f>(Indeks!D187/Indeks!D$163*Indeks!D$160)/(Indeks!$H187/Indeks!$H$163)</f>
        <v>0.2559626256239857</v>
      </c>
      <c r="E185" s="61">
        <f>(Indeks!E187/Indeks!E$163*Indeks!E$160)/(Indeks!$H187/Indeks!$H$163)</f>
        <v>7.1813627650458803E-2</v>
      </c>
      <c r="F185" s="61">
        <f>(Indeks!F187/Indeks!F$163*Indeks!F$160)/(Indeks!$H187/Indeks!$H$163)</f>
        <v>7.5013977653678982E-2</v>
      </c>
      <c r="G185" s="61">
        <f>(Indeks!G187/Indeks!G$163*Indeks!G$160)/(Indeks!$H187/Indeks!$H$163)</f>
        <v>3.4759866978636678E-3</v>
      </c>
      <c r="H185" s="61">
        <f t="shared" si="25"/>
        <v>1</v>
      </c>
    </row>
    <row r="186" spans="1:8" hidden="1" x14ac:dyDescent="0.2">
      <c r="A186" s="12">
        <f t="shared" ref="A186:A195" si="26">A185</f>
        <v>2020</v>
      </c>
      <c r="B186" s="13" t="s">
        <v>10</v>
      </c>
      <c r="C186" s="62">
        <f>(Indeks!C188/Indeks!C$163*Indeks!C$160)/(Indeks!$H188/Indeks!$H$163)</f>
        <v>0.5835761984272344</v>
      </c>
      <c r="D186" s="62">
        <f>(Indeks!D188/Indeks!D$163*Indeks!D$160)/(Indeks!$H188/Indeks!$H$163)</f>
        <v>0.26864927385229287</v>
      </c>
      <c r="E186" s="62">
        <f>(Indeks!E188/Indeks!E$163*Indeks!E$160)/(Indeks!$H188/Indeks!$H$163)</f>
        <v>7.0653637518401827E-2</v>
      </c>
      <c r="F186" s="62">
        <f>(Indeks!F188/Indeks!F$163*Indeks!F$160)/(Indeks!$H188/Indeks!$H$163)</f>
        <v>7.4368693859987248E-2</v>
      </c>
      <c r="G186" s="62">
        <f>(Indeks!G188/Indeks!G$163*Indeks!G$160)/(Indeks!$H188/Indeks!$H$163)</f>
        <v>2.7521963420836324E-3</v>
      </c>
      <c r="H186" s="62">
        <f t="shared" si="25"/>
        <v>1</v>
      </c>
    </row>
    <row r="187" spans="1:8" hidden="1" x14ac:dyDescent="0.2">
      <c r="A187" s="10">
        <f t="shared" si="26"/>
        <v>2020</v>
      </c>
      <c r="B187" t="s">
        <v>11</v>
      </c>
      <c r="C187" s="61">
        <f>(Indeks!C189/Indeks!C$163*Indeks!C$160)/(Indeks!$H189/Indeks!$H$163)</f>
        <v>0.5931659192804648</v>
      </c>
      <c r="D187" s="61">
        <f>(Indeks!D189/Indeks!D$163*Indeks!D$160)/(Indeks!$H189/Indeks!$H$163)</f>
        <v>0.25861525764101723</v>
      </c>
      <c r="E187" s="61">
        <f>(Indeks!E189/Indeks!E$163*Indeks!E$160)/(Indeks!$H189/Indeks!$H$163)</f>
        <v>7.1921654831776705E-2</v>
      </c>
      <c r="F187" s="61">
        <f>(Indeks!F189/Indeks!F$163*Indeks!F$160)/(Indeks!$H189/Indeks!$H$163)</f>
        <v>7.5336697747162784E-2</v>
      </c>
      <c r="G187" s="61">
        <f>(Indeks!G189/Indeks!G$163*Indeks!G$160)/(Indeks!$H189/Indeks!$H$163)</f>
        <v>9.6047049957866939E-4</v>
      </c>
      <c r="H187" s="61">
        <f t="shared" si="25"/>
        <v>1.0000000000000002</v>
      </c>
    </row>
    <row r="188" spans="1:8" hidden="1" x14ac:dyDescent="0.2">
      <c r="A188" s="10">
        <f t="shared" si="26"/>
        <v>2020</v>
      </c>
      <c r="B188" t="s">
        <v>12</v>
      </c>
      <c r="C188" s="61">
        <f>(Indeks!C190/Indeks!C$163*Indeks!C$160)/(Indeks!$H190/Indeks!$H$163)</f>
        <v>0.59831818144850513</v>
      </c>
      <c r="D188" s="61">
        <f>(Indeks!D190/Indeks!D$163*Indeks!D$160)/(Indeks!$H190/Indeks!$H$163)</f>
        <v>0.24885004634099656</v>
      </c>
      <c r="E188" s="61">
        <f>(Indeks!E190/Indeks!E$163*Indeks!E$160)/(Indeks!$H190/Indeks!$H$163)</f>
        <v>7.2336292755141557E-2</v>
      </c>
      <c r="F188" s="61">
        <f>(Indeks!F190/Indeks!F$163*Indeks!F$160)/(Indeks!$H190/Indeks!$H$163)</f>
        <v>7.6135820129295373E-2</v>
      </c>
      <c r="G188" s="61">
        <f>(Indeks!G190/Indeks!G$163*Indeks!G$160)/(Indeks!$H190/Indeks!$H$163)</f>
        <v>4.3596593260613135E-3</v>
      </c>
      <c r="H188" s="61">
        <f t="shared" si="25"/>
        <v>0.99999999999999978</v>
      </c>
    </row>
    <row r="189" spans="1:8" hidden="1" x14ac:dyDescent="0.2">
      <c r="A189" s="12">
        <f t="shared" si="26"/>
        <v>2020</v>
      </c>
      <c r="B189" s="13" t="s">
        <v>13</v>
      </c>
      <c r="C189" s="62">
        <f>(Indeks!C191/Indeks!C$163*Indeks!C$160)/(Indeks!$H191/Indeks!$H$163)</f>
        <v>0.61185725202217756</v>
      </c>
      <c r="D189" s="62">
        <f>(Indeks!D191/Indeks!D$163*Indeks!D$160)/(Indeks!$H191/Indeks!$H$163)</f>
        <v>0.23291496100301293</v>
      </c>
      <c r="E189" s="62">
        <f>(Indeks!E191/Indeks!E$163*Indeks!E$160)/(Indeks!$H191/Indeks!$H$163)</f>
        <v>7.3901547866147957E-2</v>
      </c>
      <c r="F189" s="62">
        <f>(Indeks!F191/Indeks!F$163*Indeks!F$160)/(Indeks!$H191/Indeks!$H$163)</f>
        <v>7.7858663047789683E-2</v>
      </c>
      <c r="G189" s="62">
        <f>(Indeks!G191/Indeks!G$163*Indeks!G$160)/(Indeks!$H191/Indeks!$H$163)</f>
        <v>3.4675760608718839E-3</v>
      </c>
      <c r="H189" s="62">
        <f t="shared" si="25"/>
        <v>1</v>
      </c>
    </row>
    <row r="190" spans="1:8" hidden="1" x14ac:dyDescent="0.2">
      <c r="A190" s="10">
        <f t="shared" si="26"/>
        <v>2020</v>
      </c>
      <c r="B190" t="s">
        <v>30</v>
      </c>
      <c r="C190" s="217">
        <f>(Indeks!C192/Indeks!C$163*Indeks!C$160)/(Indeks!$H192/Indeks!$H$163)</f>
        <v>0.61829349932420374</v>
      </c>
      <c r="D190" s="217">
        <f>(Indeks!D192/Indeks!D$163*Indeks!D$160)/(Indeks!$H192/Indeks!$H$163)</f>
        <v>0.22671288185100558</v>
      </c>
      <c r="E190" s="217">
        <f>(Indeks!E192/Indeks!E$163*Indeks!E$160)/(Indeks!$H192/Indeks!$H$163)</f>
        <v>7.428636967057993E-2</v>
      </c>
      <c r="F190" s="217">
        <f>(Indeks!F192/Indeks!F$163*Indeks!F$160)/(Indeks!$H192/Indeks!$H$163)</f>
        <v>7.841446896730532E-2</v>
      </c>
      <c r="G190" s="217">
        <f>(Indeks!G192/Indeks!G$163*Indeks!G$160)/(Indeks!$H192/Indeks!$H$163)</f>
        <v>2.2927801869054814E-3</v>
      </c>
      <c r="H190" s="217">
        <f t="shared" si="25"/>
        <v>1</v>
      </c>
    </row>
    <row r="191" spans="1:8" hidden="1" x14ac:dyDescent="0.2">
      <c r="A191" s="10">
        <f t="shared" si="26"/>
        <v>2020</v>
      </c>
      <c r="B191" t="s">
        <v>14</v>
      </c>
      <c r="C191" s="61">
        <f>(Indeks!C193/Indeks!C$163*Indeks!C$160)/(Indeks!$H193/Indeks!$H$163)</f>
        <v>0.61188070356307478</v>
      </c>
      <c r="D191" s="61">
        <f>(Indeks!D193/Indeks!D$163*Indeks!D$160)/(Indeks!$H193/Indeks!$H$163)</f>
        <v>0.23461319133754516</v>
      </c>
      <c r="E191" s="61">
        <f>(Indeks!E193/Indeks!E$163*Indeks!E$160)/(Indeks!$H193/Indeks!$H$163)</f>
        <v>7.3587194216061816E-2</v>
      </c>
      <c r="F191" s="61">
        <f>(Indeks!F193/Indeks!F$163*Indeks!F$160)/(Indeks!$H193/Indeks!$H$163)</f>
        <v>7.7748563051178651E-2</v>
      </c>
      <c r="G191" s="61">
        <f>(Indeks!G193/Indeks!G$163*Indeks!G$160)/(Indeks!$H193/Indeks!$H$163)</f>
        <v>2.1703478321398639E-3</v>
      </c>
      <c r="H191" s="61">
        <f t="shared" si="25"/>
        <v>1.0000000000000002</v>
      </c>
    </row>
    <row r="192" spans="1:8" hidden="1" x14ac:dyDescent="0.2">
      <c r="A192" s="12">
        <f t="shared" si="26"/>
        <v>2020</v>
      </c>
      <c r="B192" s="13" t="s">
        <v>15</v>
      </c>
      <c r="C192" s="62">
        <f>(Indeks!C194/Indeks!C$163*Indeks!C$160)/(Indeks!$H194/Indeks!$H$163)</f>
        <v>0.60613618951023629</v>
      </c>
      <c r="D192" s="62">
        <f>(Indeks!D194/Indeks!D$163*Indeks!D$160)/(Indeks!$H194/Indeks!$H$163)</f>
        <v>0.24157640058491806</v>
      </c>
      <c r="E192" s="62">
        <f>(Indeks!E194/Indeks!E$163*Indeks!E$160)/(Indeks!$H194/Indeks!$H$163)</f>
        <v>7.3461424106583476E-2</v>
      </c>
      <c r="F192" s="62">
        <f>(Indeks!F194/Indeks!F$163*Indeks!F$160)/(Indeks!$H194/Indeks!$H$163)</f>
        <v>7.7164643817351802E-2</v>
      </c>
      <c r="G192" s="62">
        <f>(Indeks!G194/Indeks!G$163*Indeks!G$160)/(Indeks!$H194/Indeks!$H$163)</f>
        <v>1.6613419809106071E-3</v>
      </c>
      <c r="H192" s="62">
        <f t="shared" si="25"/>
        <v>1.0000000000000002</v>
      </c>
    </row>
    <row r="193" spans="1:8" hidden="1" x14ac:dyDescent="0.2">
      <c r="A193" s="10">
        <f t="shared" si="26"/>
        <v>2020</v>
      </c>
      <c r="B193" t="s">
        <v>16</v>
      </c>
      <c r="C193" s="217">
        <f>(Indeks!C195/Indeks!C$163*Indeks!C$160)/(Indeks!$H195/Indeks!$H$163)</f>
        <v>0.60648232035791416</v>
      </c>
      <c r="D193" s="217">
        <f>(Indeks!D195/Indeks!D$163*Indeks!D$160)/(Indeks!$H195/Indeks!$H$163)</f>
        <v>0.24115391549815979</v>
      </c>
      <c r="E193" s="217">
        <f>(Indeks!E195/Indeks!E$163*Indeks!E$160)/(Indeks!$H195/Indeks!$H$163)</f>
        <v>7.3011765101392415E-2</v>
      </c>
      <c r="F193" s="217">
        <f>(Indeks!F195/Indeks!F$163*Indeks!F$160)/(Indeks!$H195/Indeks!$H$163)</f>
        <v>7.720693685416552E-2</v>
      </c>
      <c r="G193" s="217">
        <f>(Indeks!G195/Indeks!G$163*Indeks!G$160)/(Indeks!$H195/Indeks!$H$163)</f>
        <v>2.1450621883683024E-3</v>
      </c>
      <c r="H193" s="217">
        <f t="shared" si="25"/>
        <v>1.0000000000000002</v>
      </c>
    </row>
    <row r="194" spans="1:8" hidden="1" x14ac:dyDescent="0.2">
      <c r="A194" s="10">
        <f t="shared" si="26"/>
        <v>2020</v>
      </c>
      <c r="B194" t="s">
        <v>17</v>
      </c>
      <c r="C194" s="61">
        <f>(Indeks!C196/Indeks!C$163*Indeks!C$160)/(Indeks!$H196/Indeks!$H$163)</f>
        <v>0.6069835863394758</v>
      </c>
      <c r="D194" s="61">
        <f>(Indeks!D196/Indeks!D$163*Indeks!D$160)/(Indeks!$H196/Indeks!$H$163)</f>
        <v>0.24135323252703589</v>
      </c>
      <c r="E194" s="61">
        <f>(Indeks!E196/Indeks!E$163*Indeks!E$160)/(Indeks!$H196/Indeks!$H$163)</f>
        <v>7.3001577404692097E-2</v>
      </c>
      <c r="F194" s="61">
        <f>(Indeks!F196/Indeks!F$163*Indeks!F$160)/(Indeks!$H196/Indeks!$H$163)</f>
        <v>7.7197852516220244E-2</v>
      </c>
      <c r="G194" s="61">
        <f>(Indeks!G196/Indeks!G$163*Indeks!G$160)/(Indeks!$H196/Indeks!$H$163)</f>
        <v>1.4637512125759463E-3</v>
      </c>
      <c r="H194" s="61">
        <f t="shared" si="25"/>
        <v>1</v>
      </c>
    </row>
    <row r="195" spans="1:8" hidden="1" x14ac:dyDescent="0.2">
      <c r="A195" s="12">
        <f t="shared" si="26"/>
        <v>2020</v>
      </c>
      <c r="B195" s="13" t="s">
        <v>18</v>
      </c>
      <c r="C195" s="62">
        <f>(Indeks!C197/Indeks!C$163*Indeks!C$160)/(Indeks!$H197/Indeks!$H$163)</f>
        <v>0.60967208653434501</v>
      </c>
      <c r="D195" s="62">
        <f>(Indeks!D197/Indeks!D$163*Indeks!D$160)/(Indeks!$H197/Indeks!$H$163)</f>
        <v>0.23868383208085653</v>
      </c>
      <c r="E195" s="62">
        <f>(Indeks!E197/Indeks!E$163*Indeks!E$160)/(Indeks!$H197/Indeks!$H$163)</f>
        <v>7.3466612493900615E-2</v>
      </c>
      <c r="F195" s="62">
        <f>(Indeks!F197/Indeks!F$163*Indeks!F$160)/(Indeks!$H197/Indeks!$H$163)</f>
        <v>7.7393343783489194E-2</v>
      </c>
      <c r="G195" s="62">
        <f>(Indeks!G197/Indeks!G$163*Indeks!G$160)/(Indeks!$H197/Indeks!$H$163)</f>
        <v>7.8412510740874899E-4</v>
      </c>
      <c r="H195" s="62">
        <f t="shared" si="25"/>
        <v>1</v>
      </c>
    </row>
    <row r="196" spans="1:8" hidden="1" x14ac:dyDescent="0.2">
      <c r="A196" s="2">
        <v>2021</v>
      </c>
      <c r="B196" t="s">
        <v>8</v>
      </c>
      <c r="C196" s="61">
        <f>(Indeks!C198/Indeks!C$163*Indeks!C$160)/(Indeks!$H198/Indeks!$H$163)</f>
        <v>0.60929105276795781</v>
      </c>
      <c r="D196" s="61">
        <f>(Indeks!D198/Indeks!D$163*Indeks!D$160)/(Indeks!$H198/Indeks!$H$163)</f>
        <v>0.23911706836039998</v>
      </c>
      <c r="E196" s="61">
        <f>(Indeks!E198/Indeks!E$163*Indeks!E$160)/(Indeks!$H198/Indeks!$H$163)</f>
        <v>7.2933726539586602E-2</v>
      </c>
      <c r="F196" s="61">
        <f>(Indeks!F198/Indeks!F$163*Indeks!F$160)/(Indeks!$H198/Indeks!$H$163)</f>
        <v>7.7197173168072716E-2</v>
      </c>
      <c r="G196" s="61">
        <f>(Indeks!G198/Indeks!G$163*Indeks!G$160)/(Indeks!$H198/Indeks!$H$163)</f>
        <v>1.4609791639831832E-3</v>
      </c>
      <c r="H196" s="61">
        <f t="shared" ref="H196:H207" si="27">SUM(C196:G196)</f>
        <v>1.0000000000000004</v>
      </c>
    </row>
    <row r="197" spans="1:8" hidden="1" x14ac:dyDescent="0.2">
      <c r="A197" s="10">
        <f>A196</f>
        <v>2021</v>
      </c>
      <c r="B197" t="s">
        <v>9</v>
      </c>
      <c r="C197" s="61">
        <f>(Indeks!C199/Indeks!C$163*Indeks!C$160)/(Indeks!$H199/Indeks!$H$163)</f>
        <v>0.60465374971008434</v>
      </c>
      <c r="D197" s="61">
        <f>(Indeks!D199/Indeks!D$163*Indeks!D$160)/(Indeks!$H199/Indeks!$H$163)</f>
        <v>0.24681099385393879</v>
      </c>
      <c r="E197" s="61">
        <f>(Indeks!E199/Indeks!E$163*Indeks!E$160)/(Indeks!$H199/Indeks!$H$163)</f>
        <v>7.2238902197394692E-2</v>
      </c>
      <c r="F197" s="61">
        <f>(Indeks!F199/Indeks!F$163*Indeks!F$160)/(Indeks!$H199/Indeks!$H$163)</f>
        <v>7.639301155046839E-2</v>
      </c>
      <c r="G197" s="61">
        <f>(Indeks!G199/Indeks!G$163*Indeks!G$160)/(Indeks!$H199/Indeks!$H$163)</f>
        <v>-9.6657311885957239E-5</v>
      </c>
      <c r="H197" s="61">
        <f t="shared" si="27"/>
        <v>1.0000000000000002</v>
      </c>
    </row>
    <row r="198" spans="1:8" hidden="1" x14ac:dyDescent="0.2">
      <c r="A198" s="12">
        <f t="shared" ref="A198:A207" si="28">A197</f>
        <v>2021</v>
      </c>
      <c r="B198" s="13" t="s">
        <v>10</v>
      </c>
      <c r="C198" s="62">
        <f>(Indeks!C200/Indeks!C$163*Indeks!C$160)/(Indeks!$H200/Indeks!$H$163)</f>
        <v>0.59679904508357007</v>
      </c>
      <c r="D198" s="62">
        <f>(Indeks!D200/Indeks!D$163*Indeks!D$160)/(Indeks!$H200/Indeks!$H$163)</f>
        <v>0.25424235755930241</v>
      </c>
      <c r="E198" s="62">
        <f>(Indeks!E200/Indeks!E$163*Indeks!E$160)/(Indeks!$H200/Indeks!$H$163)</f>
        <v>7.1438400671523128E-2</v>
      </c>
      <c r="F198" s="62">
        <f>(Indeks!F200/Indeks!F$163*Indeks!F$160)/(Indeks!$H200/Indeks!$H$163)</f>
        <v>7.6184572982846352E-2</v>
      </c>
      <c r="G198" s="62">
        <f>(Indeks!G200/Indeks!G$163*Indeks!G$160)/(Indeks!$H200/Indeks!$H$163)</f>
        <v>1.3356237027581412E-3</v>
      </c>
      <c r="H198" s="62">
        <f t="shared" si="27"/>
        <v>1.0000000000000002</v>
      </c>
    </row>
    <row r="199" spans="1:8" hidden="1" x14ac:dyDescent="0.2">
      <c r="A199" s="10">
        <f t="shared" si="28"/>
        <v>2021</v>
      </c>
      <c r="B199" t="s">
        <v>11</v>
      </c>
      <c r="C199" s="61">
        <f>(Indeks!C201/Indeks!C$163*Indeks!C$160)/(Indeks!$H201/Indeks!$H$163)</f>
        <v>0.58866417280602057</v>
      </c>
      <c r="D199" s="61">
        <f>(Indeks!D201/Indeks!D$163*Indeks!D$160)/(Indeks!$H201/Indeks!$H$163)</f>
        <v>0.26270352628484589</v>
      </c>
      <c r="E199" s="61">
        <f>(Indeks!E201/Indeks!E$163*Indeks!E$160)/(Indeks!$H201/Indeks!$H$163)</f>
        <v>7.0572423422736674E-2</v>
      </c>
      <c r="F199" s="61">
        <f>(Indeks!F201/Indeks!F$163*Indeks!F$160)/(Indeks!$H201/Indeks!$H$163)</f>
        <v>7.4967693218494891E-2</v>
      </c>
      <c r="G199" s="61">
        <f>(Indeks!G201/Indeks!G$163*Indeks!G$160)/(Indeks!$H201/Indeks!$H$163)</f>
        <v>3.0921842679017264E-3</v>
      </c>
      <c r="H199" s="61">
        <f t="shared" si="27"/>
        <v>0.99999999999999978</v>
      </c>
    </row>
    <row r="200" spans="1:8" hidden="1" x14ac:dyDescent="0.2">
      <c r="A200" s="10">
        <f t="shared" si="28"/>
        <v>2021</v>
      </c>
      <c r="B200" t="s">
        <v>12</v>
      </c>
      <c r="C200" s="61">
        <f>(Indeks!C202/Indeks!C$163*Indeks!C$160)/(Indeks!$H202/Indeks!$H$163)</f>
        <v>0.581504347324727</v>
      </c>
      <c r="D200" s="61">
        <f>(Indeks!D202/Indeks!D$163*Indeks!D$160)/(Indeks!$H202/Indeks!$H$163)</f>
        <v>0.27017116754061149</v>
      </c>
      <c r="E200" s="61">
        <f>(Indeks!E202/Indeks!E$163*Indeks!E$160)/(Indeks!$H202/Indeks!$H$163)</f>
        <v>6.9780966738715242E-2</v>
      </c>
      <c r="F200" s="61">
        <f>(Indeks!F202/Indeks!F$163*Indeks!F$160)/(Indeks!$H202/Indeks!$H$163)</f>
        <v>7.44707523434045E-2</v>
      </c>
      <c r="G200" s="61">
        <f>(Indeks!G202/Indeks!G$163*Indeks!G$160)/(Indeks!$H202/Indeks!$H$163)</f>
        <v>4.072766052541827E-3</v>
      </c>
      <c r="H200" s="61">
        <f t="shared" si="27"/>
        <v>1.0000000000000002</v>
      </c>
    </row>
    <row r="201" spans="1:8" hidden="1" x14ac:dyDescent="0.2">
      <c r="A201" s="12">
        <f t="shared" si="28"/>
        <v>2021</v>
      </c>
      <c r="B201" s="13" t="s">
        <v>13</v>
      </c>
      <c r="C201" s="62">
        <f>(Indeks!C203/Indeks!C$163*Indeks!C$160)/(Indeks!$H203/Indeks!$H$163)</f>
        <v>0.58487888311300273</v>
      </c>
      <c r="D201" s="62">
        <f>(Indeks!D203/Indeks!D$163*Indeks!D$160)/(Indeks!$H203/Indeks!$H$163)</f>
        <v>0.26592357541562822</v>
      </c>
      <c r="E201" s="62">
        <f>(Indeks!E203/Indeks!E$163*Indeks!E$160)/(Indeks!$H203/Indeks!$H$163)</f>
        <v>7.0455082987530726E-2</v>
      </c>
      <c r="F201" s="62">
        <f>(Indeks!F203/Indeks!F$163*Indeks!F$160)/(Indeks!$H203/Indeks!$H$163)</f>
        <v>7.5111557795467021E-2</v>
      </c>
      <c r="G201" s="62">
        <f>(Indeks!G203/Indeks!G$163*Indeks!G$160)/(Indeks!$H203/Indeks!$H$163)</f>
        <v>3.6309006883712314E-3</v>
      </c>
      <c r="H201" s="62">
        <f t="shared" si="27"/>
        <v>1</v>
      </c>
    </row>
    <row r="202" spans="1:8" hidden="1" x14ac:dyDescent="0.2">
      <c r="A202" s="10">
        <f t="shared" si="28"/>
        <v>2021</v>
      </c>
      <c r="B202" t="s">
        <v>30</v>
      </c>
      <c r="C202" s="217">
        <f>(Indeks!C204/Indeks!C$163*Indeks!C$160)/(Indeks!$H204/Indeks!$H$163)</f>
        <v>0.58317751708049059</v>
      </c>
      <c r="D202" s="217">
        <f>(Indeks!D204/Indeks!D$163*Indeks!D$160)/(Indeks!$H204/Indeks!$H$163)</f>
        <v>0.26800159335850782</v>
      </c>
      <c r="E202" s="217">
        <f>(Indeks!E204/Indeks!E$163*Indeks!E$160)/(Indeks!$H204/Indeks!$H$163)</f>
        <v>6.9890749221421619E-2</v>
      </c>
      <c r="F202" s="217">
        <f>(Indeks!F204/Indeks!F$163*Indeks!F$160)/(Indeks!$H204/Indeks!$H$163)</f>
        <v>7.4505585732246374E-2</v>
      </c>
      <c r="G202" s="217">
        <f>(Indeks!G204/Indeks!G$163*Indeks!G$160)/(Indeks!$H204/Indeks!$H$163)</f>
        <v>4.424554607333854E-3</v>
      </c>
      <c r="H202" s="217">
        <f t="shared" si="27"/>
        <v>1.0000000000000002</v>
      </c>
    </row>
    <row r="203" spans="1:8" hidden="1" x14ac:dyDescent="0.2">
      <c r="A203" s="10">
        <f t="shared" si="28"/>
        <v>2021</v>
      </c>
      <c r="B203" t="s">
        <v>14</v>
      </c>
      <c r="C203" s="61">
        <f>(Indeks!C205/Indeks!C$163*Indeks!C$160)/(Indeks!$H205/Indeks!$H$163)</f>
        <v>0.58231376108560751</v>
      </c>
      <c r="D203" s="61">
        <f>(Indeks!D205/Indeks!D$163*Indeks!D$160)/(Indeks!$H205/Indeks!$H$163)</f>
        <v>0.2694339794551347</v>
      </c>
      <c r="E203" s="61">
        <f>(Indeks!E205/Indeks!E$163*Indeks!E$160)/(Indeks!$H205/Indeks!$H$163)</f>
        <v>6.9853760012145549E-2</v>
      </c>
      <c r="F203" s="61">
        <f>(Indeks!F205/Indeks!F$163*Indeks!F$160)/(Indeks!$H205/Indeks!$H$163)</f>
        <v>7.4532748300710758E-2</v>
      </c>
      <c r="G203" s="61">
        <f>(Indeks!G205/Indeks!G$163*Indeks!G$160)/(Indeks!$H205/Indeks!$H$163)</f>
        <v>3.8657511464016531E-3</v>
      </c>
      <c r="H203" s="61">
        <f t="shared" si="27"/>
        <v>1.0000000000000002</v>
      </c>
    </row>
    <row r="204" spans="1:8" hidden="1" x14ac:dyDescent="0.2">
      <c r="A204" s="12">
        <f t="shared" si="28"/>
        <v>2021</v>
      </c>
      <c r="B204" s="13" t="s">
        <v>15</v>
      </c>
      <c r="C204" s="62">
        <f>(Indeks!C206/Indeks!C$163*Indeks!C$160)/(Indeks!$H206/Indeks!$H$163)</f>
        <v>0.5773085943672952</v>
      </c>
      <c r="D204" s="62">
        <f>(Indeks!D206/Indeks!D$163*Indeks!D$160)/(Indeks!$H206/Indeks!$H$163)</f>
        <v>0.2756398178629807</v>
      </c>
      <c r="E204" s="62">
        <f>(Indeks!E206/Indeks!E$163*Indeks!E$160)/(Indeks!$H206/Indeks!$H$163)</f>
        <v>6.9715034328271475E-2</v>
      </c>
      <c r="F204" s="62">
        <f>(Indeks!F206/Indeks!F$163*Indeks!F$160)/(Indeks!$H206/Indeks!$H$163)</f>
        <v>7.3960282456518908E-2</v>
      </c>
      <c r="G204" s="62">
        <f>(Indeks!G206/Indeks!G$163*Indeks!G$160)/(Indeks!$H206/Indeks!$H$163)</f>
        <v>3.3762709849339979E-3</v>
      </c>
      <c r="H204" s="62">
        <f t="shared" si="27"/>
        <v>1.0000000000000004</v>
      </c>
    </row>
    <row r="205" spans="1:8" hidden="1" x14ac:dyDescent="0.2">
      <c r="A205" s="10">
        <f t="shared" si="28"/>
        <v>2021</v>
      </c>
      <c r="B205" t="s">
        <v>16</v>
      </c>
      <c r="C205" s="217">
        <f>(Indeks!C207/Indeks!C$163*Indeks!C$160)/(Indeks!$H207/Indeks!$H$163)</f>
        <v>0.58339161767487591</v>
      </c>
      <c r="D205" s="217">
        <f>(Indeks!D207/Indeks!D$163*Indeks!D$160)/(Indeks!$H207/Indeks!$H$163)</f>
        <v>0.26927600726346829</v>
      </c>
      <c r="E205" s="217">
        <f>(Indeks!E207/Indeks!E$163*Indeks!E$160)/(Indeks!$H207/Indeks!$H$163)</f>
        <v>6.9584357965654139E-2</v>
      </c>
      <c r="F205" s="217">
        <f>(Indeks!F207/Indeks!F$163*Indeks!F$160)/(Indeks!$H207/Indeks!$H$163)</f>
        <v>7.4097929638944002E-2</v>
      </c>
      <c r="G205" s="217">
        <f>(Indeks!G207/Indeks!G$163*Indeks!G$160)/(Indeks!$H207/Indeks!$H$163)</f>
        <v>3.6500874570580188E-3</v>
      </c>
      <c r="H205" s="217">
        <f t="shared" si="27"/>
        <v>1.0000000000000004</v>
      </c>
    </row>
    <row r="206" spans="1:8" hidden="1" x14ac:dyDescent="0.2">
      <c r="A206" s="10">
        <f t="shared" si="28"/>
        <v>2021</v>
      </c>
      <c r="B206" t="s">
        <v>17</v>
      </c>
      <c r="C206" s="61">
        <f>(Indeks!C208/Indeks!C$163*Indeks!C$160)/(Indeks!$H208/Indeks!$H$163)</f>
        <v>0.58037134258347312</v>
      </c>
      <c r="D206" s="61">
        <f>(Indeks!D208/Indeks!D$163*Indeks!D$160)/(Indeks!$H208/Indeks!$H$163)</f>
        <v>0.27200140497572589</v>
      </c>
      <c r="E206" s="61">
        <f>(Indeks!E208/Indeks!E$163*Indeks!E$160)/(Indeks!$H208/Indeks!$H$163)</f>
        <v>6.9420958802037816E-2</v>
      </c>
      <c r="F206" s="61">
        <f>(Indeks!F208/Indeks!F$163*Indeks!F$160)/(Indeks!$H208/Indeks!$H$163)</f>
        <v>7.412120421418722E-2</v>
      </c>
      <c r="G206" s="61">
        <f>(Indeks!G208/Indeks!G$163*Indeks!G$160)/(Indeks!$H208/Indeks!$H$163)</f>
        <v>4.0850894245758624E-3</v>
      </c>
      <c r="H206" s="61">
        <f t="shared" si="27"/>
        <v>0.99999999999999989</v>
      </c>
    </row>
    <row r="207" spans="1:8" hidden="1" x14ac:dyDescent="0.2">
      <c r="A207" s="12">
        <f t="shared" si="28"/>
        <v>2021</v>
      </c>
      <c r="B207" s="13" t="s">
        <v>18</v>
      </c>
      <c r="C207" s="62">
        <f>(Indeks!C209/Indeks!C$163*Indeks!C$160)/(Indeks!$H209/Indeks!$H$163)</f>
        <v>0.56846279162783642</v>
      </c>
      <c r="D207" s="62">
        <f>(Indeks!D209/Indeks!D$163*Indeks!D$160)/(Indeks!$H209/Indeks!$H$163)</f>
        <v>0.28560862454931252</v>
      </c>
      <c r="E207" s="62">
        <f>(Indeks!E209/Indeks!E$163*Indeks!E$160)/(Indeks!$H209/Indeks!$H$163)</f>
        <v>6.8639209981006602E-2</v>
      </c>
      <c r="F207" s="62">
        <f>(Indeks!F209/Indeks!F$163*Indeks!F$160)/(Indeks!$H209/Indeks!$H$163)</f>
        <v>7.293243746795823E-2</v>
      </c>
      <c r="G207" s="62">
        <f>(Indeks!G209/Indeks!G$163*Indeks!G$160)/(Indeks!$H209/Indeks!$H$163)</f>
        <v>4.3569363738863503E-3</v>
      </c>
      <c r="H207" s="62">
        <f t="shared" si="27"/>
        <v>1.0000000000000002</v>
      </c>
    </row>
    <row r="208" spans="1:8" hidden="1" x14ac:dyDescent="0.2">
      <c r="A208" s="2">
        <v>2022</v>
      </c>
      <c r="B208" t="s">
        <v>8</v>
      </c>
      <c r="C208" s="61">
        <f>(Indeks!C210/Indeks!C$163*Indeks!C$160)/(Indeks!$H210/Indeks!$H$163)</f>
        <v>0.5668037172979874</v>
      </c>
      <c r="D208" s="61">
        <f>(Indeks!D210/Indeks!D$163*Indeks!D$160)/(Indeks!$H210/Indeks!$H$163)</f>
        <v>0.28898878029886371</v>
      </c>
      <c r="E208" s="61">
        <f>(Indeks!E210/Indeks!E$163*Indeks!E$160)/(Indeks!$H210/Indeks!$H$163)</f>
        <v>6.8252212788090169E-2</v>
      </c>
      <c r="F208" s="61">
        <f>(Indeks!F210/Indeks!F$163*Indeks!F$160)/(Indeks!$H210/Indeks!$H$163)</f>
        <v>7.2252230288897656E-2</v>
      </c>
      <c r="G208" s="61">
        <f>(Indeks!G210/Indeks!G$163*Indeks!G$160)/(Indeks!$H210/Indeks!$H$163)</f>
        <v>3.7030593261611891E-3</v>
      </c>
      <c r="H208" s="61">
        <f t="shared" ref="H208:H219" si="29">SUM(C208:G208)</f>
        <v>1</v>
      </c>
    </row>
    <row r="209" spans="1:8" hidden="1" x14ac:dyDescent="0.2">
      <c r="A209" s="10">
        <f>A208</f>
        <v>2022</v>
      </c>
      <c r="B209" t="s">
        <v>9</v>
      </c>
      <c r="C209" s="61">
        <f>(Indeks!C211/Indeks!C$163*Indeks!C$160)/(Indeks!$H211/Indeks!$H$163)</f>
        <v>0.56675319000467428</v>
      </c>
      <c r="D209" s="61">
        <f>(Indeks!D211/Indeks!D$163*Indeks!D$160)/(Indeks!$H211/Indeks!$H$163)</f>
        <v>0.28791770399248429</v>
      </c>
      <c r="E209" s="61">
        <f>(Indeks!E211/Indeks!E$163*Indeks!E$160)/(Indeks!$H211/Indeks!$H$163)</f>
        <v>6.7927519118915036E-2</v>
      </c>
      <c r="F209" s="61">
        <f>(Indeks!F211/Indeks!F$163*Indeks!F$160)/(Indeks!$H211/Indeks!$H$163)</f>
        <v>7.2640935030016132E-2</v>
      </c>
      <c r="G209" s="61">
        <f>(Indeks!G211/Indeks!G$163*Indeks!G$160)/(Indeks!$H211/Indeks!$H$163)</f>
        <v>4.7606518539103837E-3</v>
      </c>
      <c r="H209" s="61">
        <f t="shared" si="29"/>
        <v>1</v>
      </c>
    </row>
    <row r="210" spans="1:8" hidden="1" x14ac:dyDescent="0.2">
      <c r="A210" s="12">
        <f t="shared" ref="A210:A219" si="30">A209</f>
        <v>2022</v>
      </c>
      <c r="B210" s="13" t="s">
        <v>10</v>
      </c>
      <c r="C210" s="62">
        <f>(Indeks!C212/Indeks!C$163*Indeks!C$160)/(Indeks!$H212/Indeks!$H$163)</f>
        <v>0.53418540218642718</v>
      </c>
      <c r="D210" s="62">
        <f>(Indeks!D212/Indeks!D$163*Indeks!D$160)/(Indeks!$H212/Indeks!$H$163)</f>
        <v>0.32480612156805017</v>
      </c>
      <c r="E210" s="62">
        <f>(Indeks!E212/Indeks!E$163*Indeks!E$160)/(Indeks!$H212/Indeks!$H$163)</f>
        <v>6.4925048862817358E-2</v>
      </c>
      <c r="F210" s="62">
        <f>(Indeks!F212/Indeks!F$163*Indeks!F$160)/(Indeks!$H212/Indeks!$H$163)</f>
        <v>7.0266833456988309E-2</v>
      </c>
      <c r="G210" s="62">
        <f>(Indeks!G212/Indeks!G$163*Indeks!G$160)/(Indeks!$H212/Indeks!$H$163)</f>
        <v>5.8165939257171211E-3</v>
      </c>
      <c r="H210" s="62">
        <f t="shared" si="29"/>
        <v>1.0000000000000002</v>
      </c>
    </row>
    <row r="211" spans="1:8" hidden="1" x14ac:dyDescent="0.2">
      <c r="A211" s="17">
        <f t="shared" si="30"/>
        <v>2022</v>
      </c>
      <c r="B211" s="18" t="s">
        <v>11</v>
      </c>
      <c r="C211" s="217">
        <f>(Indeks!C213/Indeks!C$163*Indeks!C$160)/(Indeks!$H213/Indeks!$H$163)</f>
        <v>0.52410520389388748</v>
      </c>
      <c r="D211" s="217">
        <f>(Indeks!D213/Indeks!D$163*Indeks!D$160)/(Indeks!$H213/Indeks!$H$163)</f>
        <v>0.33417690021472823</v>
      </c>
      <c r="E211" s="217">
        <f>(Indeks!E213/Indeks!E$163*Indeks!E$160)/(Indeks!$H213/Indeks!$H$163)</f>
        <v>6.4215143112321391E-2</v>
      </c>
      <c r="F211" s="217">
        <f>(Indeks!F213/Indeks!F$163*Indeks!F$160)/(Indeks!$H213/Indeks!$H$163)</f>
        <v>6.9041546755164968E-2</v>
      </c>
      <c r="G211" s="217">
        <f>(Indeks!G213/Indeks!G$163*Indeks!G$160)/(Indeks!$H213/Indeks!$H$163)</f>
        <v>8.4612060238977386E-3</v>
      </c>
      <c r="H211" s="217">
        <f t="shared" si="29"/>
        <v>0.99999999999999978</v>
      </c>
    </row>
    <row r="212" spans="1:8" hidden="1" x14ac:dyDescent="0.2">
      <c r="A212" s="10">
        <f t="shared" si="30"/>
        <v>2022</v>
      </c>
      <c r="B212" t="s">
        <v>12</v>
      </c>
      <c r="C212" s="61">
        <f>(Indeks!C214/Indeks!C$163*Indeks!C$160)/(Indeks!$H214/Indeks!$H$163)</f>
        <v>0.50278991313693333</v>
      </c>
      <c r="D212" s="61">
        <f>(Indeks!D214/Indeks!D$163*Indeks!D$160)/(Indeks!$H214/Indeks!$H$163)</f>
        <v>0.35918335773703169</v>
      </c>
      <c r="E212" s="61">
        <f>(Indeks!E214/Indeks!E$163*Indeks!E$160)/(Indeks!$H214/Indeks!$H$163)</f>
        <v>6.1998415928464563E-2</v>
      </c>
      <c r="F212" s="61">
        <f>(Indeks!F214/Indeks!F$163*Indeks!F$160)/(Indeks!$H214/Indeks!$H$163)</f>
        <v>6.6350244505398059E-2</v>
      </c>
      <c r="G212" s="61">
        <f>(Indeks!G214/Indeks!G$163*Indeks!G$160)/(Indeks!$H214/Indeks!$H$163)</f>
        <v>9.6780686921727494E-3</v>
      </c>
      <c r="H212" s="61">
        <f t="shared" si="29"/>
        <v>1.0000000000000004</v>
      </c>
    </row>
    <row r="213" spans="1:8" hidden="1" x14ac:dyDescent="0.2">
      <c r="A213" s="12">
        <f t="shared" si="30"/>
        <v>2022</v>
      </c>
      <c r="B213" s="13" t="s">
        <v>13</v>
      </c>
      <c r="C213" s="62">
        <f>(Indeks!C215/Indeks!C$163*Indeks!C$160)/(Indeks!$H215/Indeks!$H$163)</f>
        <v>0.50129039163719646</v>
      </c>
      <c r="D213" s="62">
        <f>(Indeks!D215/Indeks!D$163*Indeks!D$160)/(Indeks!$H215/Indeks!$H$163)</f>
        <v>0.35621562870457135</v>
      </c>
      <c r="E213" s="62">
        <f>(Indeks!E215/Indeks!E$163*Indeks!E$160)/(Indeks!$H215/Indeks!$H$163)</f>
        <v>6.2825925951536743E-2</v>
      </c>
      <c r="F213" s="62">
        <f>(Indeks!F215/Indeks!F$163*Indeks!F$160)/(Indeks!$H215/Indeks!$H$163)</f>
        <v>6.737309919901302E-2</v>
      </c>
      <c r="G213" s="62">
        <f>(Indeks!G215/Indeks!G$163*Indeks!G$160)/(Indeks!$H215/Indeks!$H$163)</f>
        <v>1.2294954507682249E-2</v>
      </c>
      <c r="H213" s="62">
        <f t="shared" si="29"/>
        <v>0.99999999999999989</v>
      </c>
    </row>
    <row r="214" spans="1:8" hidden="1" x14ac:dyDescent="0.2">
      <c r="A214" s="10">
        <f t="shared" si="30"/>
        <v>2022</v>
      </c>
      <c r="B214" t="s">
        <v>30</v>
      </c>
      <c r="C214" s="217">
        <f>(Indeks!C216/Indeks!C$163*Indeks!C$160)/(Indeks!$H216/Indeks!$H$163)</f>
        <v>0.4948933814578314</v>
      </c>
      <c r="D214" s="217">
        <f>(Indeks!D216/Indeks!D$163*Indeks!D$160)/(Indeks!$H216/Indeks!$H$163)</f>
        <v>0.36245129536352172</v>
      </c>
      <c r="E214" s="217">
        <f>(Indeks!E216/Indeks!E$163*Indeks!E$160)/(Indeks!$H216/Indeks!$H$163)</f>
        <v>6.2279229473622418E-2</v>
      </c>
      <c r="F214" s="217">
        <f>(Indeks!F216/Indeks!F$163*Indeks!F$160)/(Indeks!$H216/Indeks!$H$163)</f>
        <v>6.630845350911424E-2</v>
      </c>
      <c r="G214" s="217">
        <f>(Indeks!G216/Indeks!G$163*Indeks!G$160)/(Indeks!$H216/Indeks!$H$163)</f>
        <v>1.4067640195910098E-2</v>
      </c>
      <c r="H214" s="217">
        <f t="shared" si="29"/>
        <v>0.99999999999999978</v>
      </c>
    </row>
    <row r="215" spans="1:8" hidden="1" x14ac:dyDescent="0.2">
      <c r="A215" s="10">
        <f t="shared" si="30"/>
        <v>2022</v>
      </c>
      <c r="B215" t="s">
        <v>14</v>
      </c>
      <c r="C215" s="61">
        <f>(Indeks!C217/Indeks!C$163*Indeks!C$160)/(Indeks!$H217/Indeks!$H$163)</f>
        <v>0.48640726354079861</v>
      </c>
      <c r="D215" s="61">
        <f>(Indeks!D217/Indeks!D$163*Indeks!D$160)/(Indeks!$H217/Indeks!$H$163)</f>
        <v>0.3708857833216887</v>
      </c>
      <c r="E215" s="61">
        <f>(Indeks!E217/Indeks!E$163*Indeks!E$160)/(Indeks!$H217/Indeks!$H$163)</f>
        <v>6.1700126156904997E-2</v>
      </c>
      <c r="F215" s="61">
        <f>(Indeks!F217/Indeks!F$163*Indeks!F$160)/(Indeks!$H217/Indeks!$H$163)</f>
        <v>6.5452107606478738E-2</v>
      </c>
      <c r="G215" s="61">
        <f>(Indeks!G217/Indeks!G$163*Indeks!G$160)/(Indeks!$H217/Indeks!$H$163)</f>
        <v>1.5554719374128955E-2</v>
      </c>
      <c r="H215" s="61">
        <f t="shared" si="29"/>
        <v>1</v>
      </c>
    </row>
    <row r="216" spans="1:8" hidden="1" x14ac:dyDescent="0.2">
      <c r="A216" s="12">
        <f t="shared" si="30"/>
        <v>2022</v>
      </c>
      <c r="B216" s="13" t="s">
        <v>15</v>
      </c>
      <c r="C216" s="62">
        <f>(Indeks!C218/Indeks!C$163*Indeks!C$160)/(Indeks!$H218/Indeks!$H$163)</f>
        <v>0.48771067834448928</v>
      </c>
      <c r="D216" s="62">
        <f>(Indeks!D218/Indeks!D$163*Indeks!D$160)/(Indeks!$H218/Indeks!$H$163)</f>
        <v>0.36915372891479897</v>
      </c>
      <c r="E216" s="62">
        <f>(Indeks!E218/Indeks!E$163*Indeks!E$160)/(Indeks!$H218/Indeks!$H$163)</f>
        <v>6.2573430064542981E-2</v>
      </c>
      <c r="F216" s="62">
        <f>(Indeks!F218/Indeks!F$163*Indeks!F$160)/(Indeks!$H218/Indeks!$H$163)</f>
        <v>6.6246625515239563E-2</v>
      </c>
      <c r="G216" s="62">
        <f>(Indeks!G218/Indeks!G$163*Indeks!G$160)/(Indeks!$H218/Indeks!$H$163)</f>
        <v>1.4315537160929081E-2</v>
      </c>
      <c r="H216" s="62">
        <f t="shared" si="29"/>
        <v>0.99999999999999978</v>
      </c>
    </row>
    <row r="217" spans="1:8" hidden="1" x14ac:dyDescent="0.2">
      <c r="A217" s="17">
        <f t="shared" si="30"/>
        <v>2022</v>
      </c>
      <c r="B217" s="18" t="s">
        <v>16</v>
      </c>
      <c r="C217" s="217">
        <f>(Indeks!C219/Indeks!C$163*Indeks!C$160)/(Indeks!$H219/Indeks!$H$163)</f>
        <v>0.50134031066866136</v>
      </c>
      <c r="D217" s="217">
        <f>(Indeks!D219/Indeks!D$163*Indeks!D$160)/(Indeks!$H219/Indeks!$H$163)</f>
        <v>0.3476624923098261</v>
      </c>
      <c r="E217" s="217">
        <f>(Indeks!E219/Indeks!E$163*Indeks!E$160)/(Indeks!$H219/Indeks!$H$163)</f>
        <v>6.3754053918068584E-2</v>
      </c>
      <c r="F217" s="217">
        <f>(Indeks!F219/Indeks!F$163*Indeks!F$160)/(Indeks!$H219/Indeks!$H$163)</f>
        <v>6.7897978396885675E-2</v>
      </c>
      <c r="G217" s="217">
        <f>(Indeks!G219/Indeks!G$163*Indeks!G$160)/(Indeks!$H219/Indeks!$H$163)</f>
        <v>1.9345164706557921E-2</v>
      </c>
      <c r="H217" s="217">
        <f t="shared" si="29"/>
        <v>0.99999999999999967</v>
      </c>
    </row>
    <row r="218" spans="1:8" ht="13.5" hidden="1" customHeight="1" x14ac:dyDescent="0.2">
      <c r="A218" s="10">
        <f t="shared" si="30"/>
        <v>2022</v>
      </c>
      <c r="B218" t="s">
        <v>17</v>
      </c>
      <c r="C218" s="61">
        <f>(Indeks!C220/Indeks!C$163*Indeks!C$160)/(Indeks!$H220/Indeks!$H$163)</f>
        <v>0.48935391937261286</v>
      </c>
      <c r="D218" s="61">
        <f>(Indeks!D220/Indeks!D$163*Indeks!D$160)/(Indeks!$H220/Indeks!$H$163)</f>
        <v>0.35714547501523186</v>
      </c>
      <c r="E218" s="61">
        <f>(Indeks!E220/Indeks!E$163*Indeks!E$160)/(Indeks!$H220/Indeks!$H$163)</f>
        <v>6.3042177039731376E-2</v>
      </c>
      <c r="F218" s="61">
        <f>(Indeks!F220/Indeks!F$163*Indeks!F$160)/(Indeks!$H220/Indeks!$H$163)</f>
        <v>6.6330601705341913E-2</v>
      </c>
      <c r="G218" s="61">
        <f>(Indeks!G220/Indeks!G$163*Indeks!G$160)/(Indeks!$H220/Indeks!$H$163)</f>
        <v>2.412782686708196E-2</v>
      </c>
      <c r="H218" s="61">
        <f t="shared" si="29"/>
        <v>0.99999999999999989</v>
      </c>
    </row>
    <row r="219" spans="1:8" hidden="1" x14ac:dyDescent="0.2">
      <c r="A219" s="12">
        <f t="shared" si="30"/>
        <v>2022</v>
      </c>
      <c r="B219" s="13" t="s">
        <v>18</v>
      </c>
      <c r="C219" s="62">
        <f>(Indeks!C221/Indeks!C$163*Indeks!C$160)/(Indeks!$H221/Indeks!$H$163)</f>
        <v>0.4802699859379832</v>
      </c>
      <c r="D219" s="62">
        <f>(Indeks!D221/Indeks!D$163*Indeks!D$160)/(Indeks!$H221/Indeks!$H$163)</f>
        <v>0.36846398761084553</v>
      </c>
      <c r="E219" s="62">
        <f>(Indeks!E221/Indeks!E$163*Indeks!E$160)/(Indeks!$H221/Indeks!$H$163)</f>
        <v>6.2509772634740654E-2</v>
      </c>
      <c r="F219" s="62">
        <f>(Indeks!F221/Indeks!F$163*Indeks!F$160)/(Indeks!$H221/Indeks!$H$163)</f>
        <v>6.6252957534465362E-2</v>
      </c>
      <c r="G219" s="62">
        <f>(Indeks!G221/Indeks!G$163*Indeks!G$160)/(Indeks!$H221/Indeks!$H$163)</f>
        <v>2.2503296281965211E-2</v>
      </c>
      <c r="H219" s="62">
        <f t="shared" si="29"/>
        <v>1</v>
      </c>
    </row>
    <row r="220" spans="1:8" x14ac:dyDescent="0.2">
      <c r="A220" s="2">
        <v>2023</v>
      </c>
      <c r="B220" t="s">
        <v>8</v>
      </c>
      <c r="C220" s="61">
        <f>(Indeks!C222/Indeks!C$163*Indeks!C$160)/(Indeks!$H222/Indeks!$H$163)</f>
        <v>0.49362253860838601</v>
      </c>
      <c r="D220" s="61">
        <f>(Indeks!D222/Indeks!D$163*Indeks!D$160)/(Indeks!$H222/Indeks!$H$163)</f>
        <v>0.35383086029894861</v>
      </c>
      <c r="E220" s="61">
        <f>(Indeks!E222/Indeks!E$163*Indeks!E$160)/(Indeks!$H222/Indeks!$H$163)</f>
        <v>6.327152306371385E-2</v>
      </c>
      <c r="F220" s="61">
        <f>(Indeks!F222/Indeks!F$163*Indeks!F$160)/(Indeks!$H222/Indeks!$H$163)</f>
        <v>6.7803701606110864E-2</v>
      </c>
      <c r="G220" s="61">
        <f>(Indeks!G222/Indeks!G$163*Indeks!G$160)/(Indeks!$H222/Indeks!$H$163)</f>
        <v>2.1471376422840704E-2</v>
      </c>
      <c r="H220" s="61">
        <f t="shared" ref="H220:H231" si="31">SUM(C220:G220)</f>
        <v>1</v>
      </c>
    </row>
    <row r="221" spans="1:8" x14ac:dyDescent="0.2">
      <c r="A221" s="10">
        <f>A220</f>
        <v>2023</v>
      </c>
      <c r="B221" t="s">
        <v>9</v>
      </c>
      <c r="C221" s="61">
        <f>(Indeks!C223/Indeks!C$163*Indeks!C$160)/(Indeks!$H223/Indeks!$H$163)</f>
        <v>0.50647917224201144</v>
      </c>
      <c r="D221" s="61">
        <f>(Indeks!D223/Indeks!D$163*Indeks!D$160)/(Indeks!$H223/Indeks!$H$163)</f>
        <v>0.333712859538359</v>
      </c>
      <c r="E221" s="61">
        <f>(Indeks!E223/Indeks!E$163*Indeks!E$160)/(Indeks!$H223/Indeks!$H$163)</f>
        <v>6.4529720486455999E-2</v>
      </c>
      <c r="F221" s="61">
        <f>(Indeks!F223/Indeks!F$163*Indeks!F$160)/(Indeks!$H223/Indeks!$H$163)</f>
        <v>6.9627224401761348E-2</v>
      </c>
      <c r="G221" s="61">
        <f>(Indeks!G223/Indeks!G$163*Indeks!G$160)/(Indeks!$H223/Indeks!$H$163)</f>
        <v>2.5651023331412181E-2</v>
      </c>
      <c r="H221" s="61">
        <f t="shared" si="31"/>
        <v>1</v>
      </c>
    </row>
    <row r="222" spans="1:8" x14ac:dyDescent="0.2">
      <c r="A222" s="12">
        <f t="shared" ref="A222:A231" si="32">A221</f>
        <v>2023</v>
      </c>
      <c r="B222" s="13" t="s">
        <v>10</v>
      </c>
      <c r="C222" s="62">
        <f>(Indeks!C224/Indeks!C$163*Indeks!C$160)/(Indeks!$H224/Indeks!$H$163)</f>
        <v>0.50112581548405066</v>
      </c>
      <c r="D222" s="62">
        <f>(Indeks!D224/Indeks!D$163*Indeks!D$160)/(Indeks!$H224/Indeks!$H$163)</f>
        <v>0.34004552056377979</v>
      </c>
      <c r="E222" s="62">
        <f>(Indeks!E224/Indeks!E$163*Indeks!E$160)/(Indeks!$H224/Indeks!$H$163)</f>
        <v>6.4123100532701094E-2</v>
      </c>
      <c r="F222" s="62">
        <f>(Indeks!F224/Indeks!F$163*Indeks!F$160)/(Indeks!$H224/Indeks!$H$163)</f>
        <v>6.9859176297245279E-2</v>
      </c>
      <c r="G222" s="62">
        <f>(Indeks!G224/Indeks!G$163*Indeks!G$160)/(Indeks!$H224/Indeks!$H$163)</f>
        <v>2.484638712222326E-2</v>
      </c>
      <c r="H222" s="62">
        <f t="shared" si="31"/>
        <v>1</v>
      </c>
    </row>
    <row r="223" spans="1:8" x14ac:dyDescent="0.2">
      <c r="A223" s="10">
        <f t="shared" si="32"/>
        <v>2023</v>
      </c>
      <c r="B223" t="s">
        <v>11</v>
      </c>
      <c r="C223" s="61">
        <f>(Indeks!C225/Indeks!C$163*Indeks!C$160)/(Indeks!$H225/Indeks!$H$163)</f>
        <v>0.51309430789342547</v>
      </c>
      <c r="D223" s="61">
        <f>(Indeks!D225/Indeks!D$163*Indeks!D$160)/(Indeks!$H225/Indeks!$H$163)</f>
        <v>0.32272863279743752</v>
      </c>
      <c r="E223" s="61">
        <f>(Indeks!E225/Indeks!E$163*Indeks!E$160)/(Indeks!$H225/Indeks!$H$163)</f>
        <v>6.5742683430114274E-2</v>
      </c>
      <c r="F223" s="61">
        <f>(Indeks!F225/Indeks!F$163*Indeks!F$160)/(Indeks!$H225/Indeks!$H$163)</f>
        <v>7.072181239380898E-2</v>
      </c>
      <c r="G223" s="61">
        <f>(Indeks!G225/Indeks!G$163*Indeks!G$160)/(Indeks!$H225/Indeks!$H$163)</f>
        <v>2.7712563485213337E-2</v>
      </c>
      <c r="H223" s="61">
        <f t="shared" si="31"/>
        <v>0.99999999999999956</v>
      </c>
    </row>
    <row r="224" spans="1:8" x14ac:dyDescent="0.2">
      <c r="A224" s="10">
        <f t="shared" si="32"/>
        <v>2023</v>
      </c>
      <c r="B224" t="s">
        <v>12</v>
      </c>
      <c r="C224" s="61">
        <f>(Indeks!C226/Indeks!C$163*Indeks!C$160)/(Indeks!$H226/Indeks!$H$163)</f>
        <v>0.51077976628958832</v>
      </c>
      <c r="D224" s="61">
        <f>(Indeks!D226/Indeks!D$163*Indeks!D$160)/(Indeks!$H226/Indeks!$H$163)</f>
        <v>0.32755333763034167</v>
      </c>
      <c r="E224" s="61">
        <f>(Indeks!E226/Indeks!E$163*Indeks!E$160)/(Indeks!$H226/Indeks!$H$163)</f>
        <v>6.5334723967659949E-2</v>
      </c>
      <c r="F224" s="61">
        <f>(Indeks!F226/Indeks!F$163*Indeks!F$160)/(Indeks!$H226/Indeks!$H$163)</f>
        <v>7.0748183894897912E-2</v>
      </c>
      <c r="G224" s="61">
        <f>(Indeks!G226/Indeks!G$163*Indeks!G$160)/(Indeks!$H226/Indeks!$H$163)</f>
        <v>2.5583988217512003E-2</v>
      </c>
      <c r="H224" s="61">
        <f t="shared" si="31"/>
        <v>0.99999999999999978</v>
      </c>
    </row>
    <row r="225" spans="1:8" x14ac:dyDescent="0.2">
      <c r="A225" s="12">
        <f t="shared" si="32"/>
        <v>2023</v>
      </c>
      <c r="B225" s="13" t="s">
        <v>13</v>
      </c>
      <c r="C225" s="62">
        <f>(Indeks!C227/Indeks!C$163*Indeks!C$160)/(Indeks!$H227/Indeks!$H$163)</f>
        <v>0.51503036775058675</v>
      </c>
      <c r="D225" s="62">
        <f>(Indeks!D227/Indeks!D$163*Indeks!D$160)/(Indeks!$H227/Indeks!$H$163)</f>
        <v>0.32149774219102867</v>
      </c>
      <c r="E225" s="62">
        <f>(Indeks!E227/Indeks!E$163*Indeks!E$160)/(Indeks!$H227/Indeks!$H$163)</f>
        <v>6.6046912779907763E-2</v>
      </c>
      <c r="F225" s="62">
        <f>(Indeks!F227/Indeks!F$163*Indeks!F$160)/(Indeks!$H227/Indeks!$H$163)</f>
        <v>7.1394980055471458E-2</v>
      </c>
      <c r="G225" s="62">
        <f>(Indeks!G227/Indeks!G$163*Indeks!G$160)/(Indeks!$H227/Indeks!$H$163)</f>
        <v>2.6029997223005117E-2</v>
      </c>
      <c r="H225" s="62">
        <f t="shared" si="31"/>
        <v>0.99999999999999978</v>
      </c>
    </row>
    <row r="226" spans="1:8" x14ac:dyDescent="0.2">
      <c r="A226" s="17">
        <f t="shared" si="32"/>
        <v>2023</v>
      </c>
      <c r="B226" s="22" t="s">
        <v>30</v>
      </c>
      <c r="C226" s="217">
        <f>(Indeks!C228/Indeks!C$163*Indeks!C$160)/(Indeks!$H228/Indeks!$H$163)</f>
        <v>0.52762954655666949</v>
      </c>
      <c r="D226" s="217">
        <f>(Indeks!D228/Indeks!D$163*Indeks!D$160)/(Indeks!$H228/Indeks!$H$163)</f>
        <v>0.30675446132922973</v>
      </c>
      <c r="E226" s="217">
        <f>(Indeks!E228/Indeks!E$163*Indeks!E$160)/(Indeks!$H228/Indeks!$H$163)</f>
        <v>6.612241637935326E-2</v>
      </c>
      <c r="F226" s="217">
        <f>(Indeks!F228/Indeks!F$163*Indeks!F$160)/(Indeks!$H228/Indeks!$H$163)</f>
        <v>7.2285743808779779E-2</v>
      </c>
      <c r="G226" s="217">
        <f>(Indeks!G228/Indeks!G$163*Indeks!G$160)/(Indeks!$H228/Indeks!$H$163)</f>
        <v>2.7207831925967423E-2</v>
      </c>
      <c r="H226" s="217">
        <f t="shared" si="31"/>
        <v>0.99999999999999978</v>
      </c>
    </row>
    <row r="227" spans="1:8" x14ac:dyDescent="0.2">
      <c r="A227" s="10">
        <f t="shared" si="32"/>
        <v>2023</v>
      </c>
      <c r="B227" t="s">
        <v>14</v>
      </c>
      <c r="C227" s="61">
        <f>(Indeks!C229/Indeks!C$163*Indeks!C$160)/(Indeks!$H229/Indeks!$H$163)</f>
        <v>0.51896530088398551</v>
      </c>
      <c r="D227" s="61">
        <f>(Indeks!D229/Indeks!D$163*Indeks!D$160)/(Indeks!$H229/Indeks!$H$163)</f>
        <v>0.31570472652052178</v>
      </c>
      <c r="E227" s="61">
        <f>(Indeks!E229/Indeks!E$163*Indeks!E$160)/(Indeks!$H229/Indeks!$H$163)</f>
        <v>6.5260879245675765E-2</v>
      </c>
      <c r="F227" s="61">
        <f>(Indeks!F229/Indeks!F$163*Indeks!F$160)/(Indeks!$H229/Indeks!$H$163)</f>
        <v>7.1446405078851929E-2</v>
      </c>
      <c r="G227" s="61">
        <f>(Indeks!G229/Indeks!G$163*Indeks!G$160)/(Indeks!$H229/Indeks!$H$163)</f>
        <v>2.8622688270965056E-2</v>
      </c>
      <c r="H227" s="61">
        <f t="shared" si="31"/>
        <v>1.0000000000000002</v>
      </c>
    </row>
    <row r="228" spans="1:8" x14ac:dyDescent="0.2">
      <c r="A228" s="12">
        <f t="shared" si="32"/>
        <v>2023</v>
      </c>
      <c r="B228" s="13" t="s">
        <v>15</v>
      </c>
      <c r="C228" s="62">
        <f>(Indeks!C230/Indeks!C$163*Indeks!C$160)/(Indeks!$H230/Indeks!$H$163)</f>
        <v>0.5200784423796676</v>
      </c>
      <c r="D228" s="62">
        <f>(Indeks!D230/Indeks!D$163*Indeks!D$160)/(Indeks!$H230/Indeks!$H$163)</f>
        <v>0.31245761849172626</v>
      </c>
      <c r="E228" s="62">
        <f>(Indeks!E230/Indeks!E$163*Indeks!E$160)/(Indeks!$H230/Indeks!$H$163)</f>
        <v>6.6580771321096383E-2</v>
      </c>
      <c r="F228" s="62">
        <f>(Indeks!F230/Indeks!F$163*Indeks!F$160)/(Indeks!$H230/Indeks!$H$163)</f>
        <v>7.2354555303257892E-2</v>
      </c>
      <c r="G228" s="62">
        <f>(Indeks!G230/Indeks!G$163*Indeks!G$160)/(Indeks!$H230/Indeks!$H$163)</f>
        <v>2.8528612504251559E-2</v>
      </c>
      <c r="H228" s="62">
        <f t="shared" si="31"/>
        <v>0.99999999999999967</v>
      </c>
    </row>
    <row r="229" spans="1:8" x14ac:dyDescent="0.2">
      <c r="A229" s="17">
        <f t="shared" si="32"/>
        <v>2023</v>
      </c>
      <c r="B229" s="18" t="s">
        <v>16</v>
      </c>
      <c r="C229" s="217">
        <f>(Indeks!C231/Indeks!C$163*Indeks!C$160)/(Indeks!$H231/Indeks!$H$163)</f>
        <v>0.51117525298147348</v>
      </c>
      <c r="D229" s="217">
        <f>(Indeks!D231/Indeks!D$163*Indeks!D$160)/(Indeks!$H231/Indeks!$H$163)</f>
        <v>0.32570598558895042</v>
      </c>
      <c r="E229" s="217">
        <f>(Indeks!E231/Indeks!E$163*Indeks!E$160)/(Indeks!$H231/Indeks!$H$163)</f>
        <v>6.4656180130520866E-2</v>
      </c>
      <c r="F229" s="217">
        <f>(Indeks!F231/Indeks!F$163*Indeks!F$160)/(Indeks!$H231/Indeks!$H$163)</f>
        <v>7.0570317844403013E-2</v>
      </c>
      <c r="G229" s="217">
        <f>(Indeks!G231/Indeks!G$163*Indeks!G$160)/(Indeks!$H231/Indeks!$H$163)</f>
        <v>2.7892263454652341E-2</v>
      </c>
      <c r="H229" s="217">
        <f t="shared" si="31"/>
        <v>1</v>
      </c>
    </row>
    <row r="230" spans="1:8" x14ac:dyDescent="0.2">
      <c r="A230" s="10">
        <f t="shared" si="32"/>
        <v>2023</v>
      </c>
      <c r="B230" t="s">
        <v>17</v>
      </c>
      <c r="C230" s="61">
        <f>(Indeks!C232/Indeks!C$163*Indeks!C$160)/(Indeks!$H232/Indeks!$H$163)</f>
        <v>0.5068291283419003</v>
      </c>
      <c r="D230" s="61">
        <f>(Indeks!D232/Indeks!D$163*Indeks!D$160)/(Indeks!$H232/Indeks!$H$163)</f>
        <v>0.33071629067035724</v>
      </c>
      <c r="E230" s="61">
        <f>(Indeks!E232/Indeks!E$163*Indeks!E$160)/(Indeks!$H232/Indeks!$H$163)</f>
        <v>6.3943061098424708E-2</v>
      </c>
      <c r="F230" s="61">
        <f>(Indeks!F232/Indeks!F$163*Indeks!F$160)/(Indeks!$H232/Indeks!$H$163)</f>
        <v>6.9801439002547011E-2</v>
      </c>
      <c r="G230" s="61">
        <f>(Indeks!G232/Indeks!G$163*Indeks!G$160)/(Indeks!$H232/Indeks!$H$163)</f>
        <v>2.8710080886770566E-2</v>
      </c>
      <c r="H230" s="61">
        <f t="shared" si="31"/>
        <v>0.99999999999999978</v>
      </c>
    </row>
    <row r="231" spans="1:8" x14ac:dyDescent="0.2">
      <c r="A231" s="12">
        <f t="shared" si="32"/>
        <v>2023</v>
      </c>
      <c r="B231" s="13" t="s">
        <v>18</v>
      </c>
      <c r="C231" s="62">
        <f>(Indeks!C233/Indeks!C$163*Indeks!C$160)/(Indeks!$H233/Indeks!$H$163)</f>
        <v>0.50774223412136033</v>
      </c>
      <c r="D231" s="62">
        <f>(Indeks!D233/Indeks!D$163*Indeks!D$160)/(Indeks!$H233/Indeks!$H$163)</f>
        <v>0.32962967742594007</v>
      </c>
      <c r="E231" s="62">
        <f>(Indeks!E233/Indeks!E$163*Indeks!E$160)/(Indeks!$H233/Indeks!$H$163)</f>
        <v>6.4221953542836274E-2</v>
      </c>
      <c r="F231" s="62">
        <f>(Indeks!F233/Indeks!F$163*Indeks!F$160)/(Indeks!$H233/Indeks!$H$163)</f>
        <v>6.9870800710522721E-2</v>
      </c>
      <c r="G231" s="62">
        <f>(Indeks!G233/Indeks!G$163*Indeks!G$160)/(Indeks!$H233/Indeks!$H$163)</f>
        <v>2.8535334199340835E-2</v>
      </c>
      <c r="H231" s="62">
        <f t="shared" si="31"/>
        <v>1.0000000000000002</v>
      </c>
    </row>
    <row r="232" spans="1:8" x14ac:dyDescent="0.2">
      <c r="A232" s="2">
        <v>2024</v>
      </c>
      <c r="B232" t="s">
        <v>8</v>
      </c>
      <c r="C232" s="61">
        <f>(Indeks!C234/Indeks!C$163*Indeks!C$160)/(Indeks!$H234/Indeks!$H$163)</f>
        <v>0.51381420815437262</v>
      </c>
      <c r="D232" s="61">
        <f>(Indeks!D234/Indeks!D$163*Indeks!D$160)/(Indeks!$H234/Indeks!$H$163)</f>
        <v>0.32613058857567406</v>
      </c>
      <c r="E232" s="61">
        <f>(Indeks!E234/Indeks!E$163*Indeks!E$160)/(Indeks!$H234/Indeks!$H$163)</f>
        <v>6.3967400540624164E-2</v>
      </c>
      <c r="F232" s="61">
        <f>(Indeks!F234/Indeks!F$163*Indeks!F$160)/(Indeks!$H234/Indeks!$H$163)</f>
        <v>6.9605733222923447E-2</v>
      </c>
      <c r="G232" s="61">
        <f>(Indeks!G234/Indeks!G$163*Indeks!G$160)/(Indeks!$H234/Indeks!$H$163)</f>
        <v>2.648206950640555E-2</v>
      </c>
      <c r="H232" s="61">
        <f t="shared" ref="H232:H243" si="33">SUM(C232:G232)</f>
        <v>0.99999999999999967</v>
      </c>
    </row>
    <row r="233" spans="1:8" x14ac:dyDescent="0.2">
      <c r="A233" s="10">
        <f>A232</f>
        <v>2024</v>
      </c>
      <c r="B233" t="s">
        <v>9</v>
      </c>
      <c r="C233" s="61">
        <f>(Indeks!C235/Indeks!C$163*Indeks!C$160)/(Indeks!$H235/Indeks!$H$163)</f>
        <v>0.52422311579411651</v>
      </c>
      <c r="D233" s="61">
        <f>(Indeks!D235/Indeks!D$163*Indeks!D$160)/(Indeks!$H235/Indeks!$H$163)</f>
        <v>0.31546830211374693</v>
      </c>
      <c r="E233" s="61">
        <f>(Indeks!E235/Indeks!E$163*Indeks!E$160)/(Indeks!$H235/Indeks!$H$163)</f>
        <v>6.4929432122642003E-2</v>
      </c>
      <c r="F233" s="61">
        <f>(Indeks!F235/Indeks!F$163*Indeks!F$160)/(Indeks!$H235/Indeks!$H$163)</f>
        <v>7.0900808847727217E-2</v>
      </c>
      <c r="G233" s="61">
        <f>(Indeks!G235/Indeks!G$163*Indeks!G$160)/(Indeks!$H235/Indeks!$H$163)</f>
        <v>2.4478341121767236E-2</v>
      </c>
      <c r="H233" s="61">
        <f t="shared" si="33"/>
        <v>0.99999999999999989</v>
      </c>
    </row>
    <row r="234" spans="1:8" x14ac:dyDescent="0.2">
      <c r="A234" s="12">
        <f t="shared" ref="A234:A243" si="34">A233</f>
        <v>2024</v>
      </c>
      <c r="B234" s="13" t="s">
        <v>10</v>
      </c>
      <c r="C234" s="62">
        <f>(Indeks!C236/Indeks!C$163*Indeks!C$160)/(Indeks!$H236/Indeks!$H$163)</f>
        <v>0.55902986299614699</v>
      </c>
      <c r="D234" s="62">
        <f>(Indeks!D236/Indeks!D$163*Indeks!D$160)/(Indeks!$H236/Indeks!$H$163)</f>
        <v>0.26956769457091889</v>
      </c>
      <c r="E234" s="62">
        <f>(Indeks!E236/Indeks!E$163*Indeks!E$160)/(Indeks!$H236/Indeks!$H$163)</f>
        <v>6.9893192762144146E-2</v>
      </c>
      <c r="F234" s="62">
        <f>(Indeks!F236/Indeks!F$163*Indeks!F$160)/(Indeks!$H236/Indeks!$H$163)</f>
        <v>7.499519021342417E-2</v>
      </c>
      <c r="G234" s="62">
        <f>(Indeks!G236/Indeks!G$163*Indeks!G$160)/(Indeks!$H236/Indeks!$H$163)</f>
        <v>2.6514059457365787E-2</v>
      </c>
      <c r="H234" s="62">
        <f t="shared" si="33"/>
        <v>0.99999999999999989</v>
      </c>
    </row>
    <row r="235" spans="1:8" x14ac:dyDescent="0.2">
      <c r="A235" s="17">
        <f t="shared" si="34"/>
        <v>2024</v>
      </c>
      <c r="B235" s="18" t="s">
        <v>11</v>
      </c>
      <c r="C235" s="61">
        <f>(Indeks!C237/Indeks!C$163*Indeks!C$160)/(Indeks!$H237/Indeks!$H$163)</f>
        <v>0.55624638269646109</v>
      </c>
      <c r="D235" s="61">
        <f>(Indeks!D237/Indeks!D$163*Indeks!D$160)/(Indeks!$H237/Indeks!$H$163)</f>
        <v>0.2728892309463592</v>
      </c>
      <c r="E235" s="61">
        <f>(Indeks!E237/Indeks!E$163*Indeks!E$160)/(Indeks!$H237/Indeks!$H$163)</f>
        <v>6.9312395175448405E-2</v>
      </c>
      <c r="F235" s="61">
        <f>(Indeks!F237/Indeks!F$163*Indeks!F$160)/(Indeks!$H237/Indeks!$H$163)</f>
        <v>7.4176619853848325E-2</v>
      </c>
      <c r="G235" s="61">
        <f>(Indeks!G237/Indeks!G$163*Indeks!G$160)/(Indeks!$H237/Indeks!$H$163)</f>
        <v>2.7375371327883036E-2</v>
      </c>
      <c r="H235" s="61">
        <f t="shared" si="33"/>
        <v>1</v>
      </c>
    </row>
    <row r="236" spans="1:8" x14ac:dyDescent="0.2">
      <c r="A236" s="10">
        <f t="shared" si="34"/>
        <v>2024</v>
      </c>
      <c r="B236" t="s">
        <v>12</v>
      </c>
      <c r="C236" s="61">
        <f>(Indeks!C238/Indeks!C$163*Indeks!C$160)/(Indeks!$H238/Indeks!$H$163)</f>
        <v>0.56010394663900398</v>
      </c>
      <c r="D236" s="61">
        <f>(Indeks!D238/Indeks!D$163*Indeks!D$160)/(Indeks!$H238/Indeks!$H$163)</f>
        <v>0.268008860191636</v>
      </c>
      <c r="E236" s="61">
        <f>(Indeks!E238/Indeks!E$163*Indeks!E$160)/(Indeks!$H238/Indeks!$H$163)</f>
        <v>6.9793076047661828E-2</v>
      </c>
      <c r="F236" s="61">
        <f>(Indeks!F238/Indeks!F$163*Indeks!F$160)/(Indeks!$H238/Indeks!$H$163)</f>
        <v>7.4447343922778561E-2</v>
      </c>
      <c r="G236" s="61">
        <f>(Indeks!G238/Indeks!G$163*Indeks!G$160)/(Indeks!$H238/Indeks!$H$163)</f>
        <v>2.7646773198919547E-2</v>
      </c>
      <c r="H236" s="61">
        <f t="shared" si="33"/>
        <v>0.99999999999999989</v>
      </c>
    </row>
    <row r="237" spans="1:8" x14ac:dyDescent="0.2">
      <c r="A237" s="12">
        <f t="shared" si="34"/>
        <v>2024</v>
      </c>
      <c r="B237" s="13" t="s">
        <v>13</v>
      </c>
      <c r="C237" s="62">
        <f>(Indeks!C239/Indeks!C$163*Indeks!C$160)/(Indeks!$H239/Indeks!$H$163)</f>
        <v>0.56068387249408014</v>
      </c>
      <c r="D237" s="62">
        <f>(Indeks!D239/Indeks!D$163*Indeks!D$160)/(Indeks!$H239/Indeks!$H$163)</f>
        <v>0.26656047475385347</v>
      </c>
      <c r="E237" s="62">
        <f>(Indeks!E239/Indeks!E$163*Indeks!E$160)/(Indeks!$H239/Indeks!$H$163)</f>
        <v>6.9924346967194392E-2</v>
      </c>
      <c r="F237" s="62">
        <f>(Indeks!F239/Indeks!F$163*Indeks!F$160)/(Indeks!$H239/Indeks!$H$163)</f>
        <v>7.4829354028601802E-2</v>
      </c>
      <c r="G237" s="62">
        <f>(Indeks!G239/Indeks!G$163*Indeks!G$160)/(Indeks!$H239/Indeks!$H$163)</f>
        <v>2.8001951756270155E-2</v>
      </c>
      <c r="H237" s="62">
        <f t="shared" si="33"/>
        <v>1</v>
      </c>
    </row>
    <row r="238" spans="1:8" x14ac:dyDescent="0.2">
      <c r="A238" s="17">
        <f t="shared" si="34"/>
        <v>2024</v>
      </c>
      <c r="B238" s="22" t="s">
        <v>30</v>
      </c>
      <c r="C238" s="217">
        <f>(Indeks!C240/Indeks!C$163*Indeks!C$160)/(Indeks!$H240/Indeks!$H$163)</f>
        <v>0.57050753685858047</v>
      </c>
      <c r="D238" s="217">
        <f>(Indeks!D240/Indeks!D$163*Indeks!D$160)/(Indeks!$H240/Indeks!$H$163)</f>
        <v>0.25437194986330541</v>
      </c>
      <c r="E238" s="217">
        <f>(Indeks!E240/Indeks!E$163*Indeks!E$160)/(Indeks!$H240/Indeks!$H$163)</f>
        <v>7.0556949232676511E-2</v>
      </c>
      <c r="F238" s="217">
        <f>(Indeks!F240/Indeks!F$163*Indeks!F$160)/(Indeks!$H240/Indeks!$H$163)</f>
        <v>7.5814018424461185E-2</v>
      </c>
      <c r="G238" s="217">
        <f>(Indeks!G240/Indeks!G$163*Indeks!G$160)/(Indeks!$H240/Indeks!$H$163)</f>
        <v>2.8749545620976594E-2</v>
      </c>
      <c r="H238" s="217">
        <f t="shared" si="33"/>
        <v>1.0000000000000002</v>
      </c>
    </row>
    <row r="239" spans="1:8" x14ac:dyDescent="0.2">
      <c r="A239" s="10">
        <f t="shared" si="34"/>
        <v>2024</v>
      </c>
      <c r="B239" t="s">
        <v>14</v>
      </c>
      <c r="C239" s="61">
        <f>(Indeks!C241/Indeks!C$163*Indeks!C$160)/(Indeks!$H241/Indeks!$H$163)</f>
        <v>0.57621956707485678</v>
      </c>
      <c r="D239" s="61">
        <f>(Indeks!D241/Indeks!D$163*Indeks!D$160)/(Indeks!$H241/Indeks!$H$163)</f>
        <v>0.24765539493936753</v>
      </c>
      <c r="E239" s="61">
        <f>(Indeks!E241/Indeks!E$163*Indeks!E$160)/(Indeks!$H241/Indeks!$H$163)</f>
        <v>7.1263378858838003E-2</v>
      </c>
      <c r="F239" s="61">
        <f>(Indeks!F241/Indeks!F$163*Indeks!F$160)/(Indeks!$H241/Indeks!$H$163)</f>
        <v>7.6573082829538799E-2</v>
      </c>
      <c r="G239" s="61">
        <f>(Indeks!G241/Indeks!G$163*Indeks!G$160)/(Indeks!$H241/Indeks!$H$163)</f>
        <v>2.8288576297398914E-2</v>
      </c>
      <c r="H239" s="61">
        <f t="shared" si="33"/>
        <v>1</v>
      </c>
    </row>
    <row r="240" spans="1:8" x14ac:dyDescent="0.2">
      <c r="A240" s="12">
        <f t="shared" si="34"/>
        <v>2024</v>
      </c>
      <c r="B240" s="13" t="s">
        <v>15</v>
      </c>
      <c r="C240" s="62">
        <f>(Indeks!C242/Indeks!C$163*Indeks!C$160)/(Indeks!$H242/Indeks!$H$163)</f>
        <v>0.57036160579300177</v>
      </c>
      <c r="D240" s="62">
        <f>(Indeks!D242/Indeks!D$163*Indeks!D$160)/(Indeks!$H242/Indeks!$H$163)</f>
        <v>0.25671295404135364</v>
      </c>
      <c r="E240" s="62">
        <f>(Indeks!E242/Indeks!E$163*Indeks!E$160)/(Indeks!$H242/Indeks!$H$163)</f>
        <v>7.1312745841469932E-2</v>
      </c>
      <c r="F240" s="62">
        <f>(Indeks!F242/Indeks!F$163*Indeks!F$160)/(Indeks!$H242/Indeks!$H$163)</f>
        <v>7.5917669055163103E-2</v>
      </c>
      <c r="G240" s="62">
        <f>(Indeks!G242/Indeks!G$163*Indeks!G$160)/(Indeks!$H242/Indeks!$H$163)</f>
        <v>2.5695025269011448E-2</v>
      </c>
      <c r="H240" s="62">
        <f t="shared" si="33"/>
        <v>0.99999999999999989</v>
      </c>
    </row>
    <row r="241" spans="1:8" x14ac:dyDescent="0.2">
      <c r="A241" s="10">
        <f t="shared" si="34"/>
        <v>2024</v>
      </c>
      <c r="B241" t="s">
        <v>16</v>
      </c>
      <c r="C241" s="217">
        <f>(Indeks!C243/Indeks!C$163*Indeks!C$160)/(Indeks!$H243/Indeks!$H$163)</f>
        <v>0.58701381298952637</v>
      </c>
      <c r="D241" s="217">
        <f>(Indeks!D243/Indeks!D$163*Indeks!D$160)/(Indeks!$H243/Indeks!$H$163)</f>
        <v>0.24143289080268335</v>
      </c>
      <c r="E241" s="217">
        <f>(Indeks!E243/Indeks!E$163*Indeks!E$160)/(Indeks!$H243/Indeks!$H$163)</f>
        <v>7.0758949121019682E-2</v>
      </c>
      <c r="F241" s="217">
        <f>(Indeks!F243/Indeks!F$163*Indeks!F$160)/(Indeks!$H243/Indeks!$H$163)</f>
        <v>7.5766419818716124E-2</v>
      </c>
      <c r="G241" s="217">
        <f>(Indeks!G243/Indeks!G$163*Indeks!G$160)/(Indeks!$H243/Indeks!$H$163)</f>
        <v>2.502792726805431E-2</v>
      </c>
      <c r="H241" s="217">
        <f t="shared" si="33"/>
        <v>0.99999999999999989</v>
      </c>
    </row>
    <row r="242" spans="1:8" x14ac:dyDescent="0.2">
      <c r="A242" s="10">
        <f t="shared" si="34"/>
        <v>2024</v>
      </c>
      <c r="B242" t="s">
        <v>17</v>
      </c>
      <c r="C242" s="61">
        <f>(Indeks!C244/Indeks!C$163*Indeks!C$160)/(Indeks!$H244/Indeks!$H$163)</f>
        <v>0.59466019351527533</v>
      </c>
      <c r="D242" s="61">
        <f>(Indeks!D244/Indeks!D$163*Indeks!D$160)/(Indeks!$H244/Indeks!$H$163)</f>
        <v>0.23376624696281081</v>
      </c>
      <c r="E242" s="61">
        <f>(Indeks!E244/Indeks!E$163*Indeks!E$160)/(Indeks!$H244/Indeks!$H$163)</f>
        <v>7.1440310329651285E-2</v>
      </c>
      <c r="F242" s="61">
        <f>(Indeks!F244/Indeks!F$163*Indeks!F$160)/(Indeks!$H244/Indeks!$H$163)</f>
        <v>7.6691247102237486E-2</v>
      </c>
      <c r="G242" s="61">
        <f>(Indeks!G244/Indeks!G$163*Indeks!G$160)/(Indeks!$H244/Indeks!$H$163)</f>
        <v>2.3442002090025078E-2</v>
      </c>
      <c r="H242" s="61">
        <f t="shared" si="33"/>
        <v>1</v>
      </c>
    </row>
    <row r="243" spans="1:8" x14ac:dyDescent="0.2">
      <c r="A243" s="12">
        <f t="shared" si="34"/>
        <v>2024</v>
      </c>
      <c r="B243" s="13" t="s">
        <v>18</v>
      </c>
      <c r="C243" s="62">
        <f>(Indeks!C245/Indeks!C$163*Indeks!C$160)/(Indeks!$H245/Indeks!$H$163)</f>
        <v>0.59085096615175092</v>
      </c>
      <c r="D243" s="62">
        <f>(Indeks!D245/Indeks!D$163*Indeks!D$160)/(Indeks!$H245/Indeks!$H$163)</f>
        <v>0.23796607128826566</v>
      </c>
      <c r="E243" s="62">
        <f>(Indeks!E245/Indeks!E$163*Indeks!E$160)/(Indeks!$H245/Indeks!$H$163)</f>
        <v>7.1400579995842012E-2</v>
      </c>
      <c r="F243" s="62">
        <f>(Indeks!F245/Indeks!F$163*Indeks!F$160)/(Indeks!$H245/Indeks!$H$163)</f>
        <v>7.582978200743834E-2</v>
      </c>
      <c r="G243" s="62">
        <f>(Indeks!G245/Indeks!G$163*Indeks!G$160)/(Indeks!$H245/Indeks!$H$163)</f>
        <v>2.3952600556703143E-2</v>
      </c>
      <c r="H243" s="62">
        <f t="shared" si="33"/>
        <v>1.0000000000000002</v>
      </c>
    </row>
    <row r="244" spans="1:8" x14ac:dyDescent="0.2">
      <c r="A244" s="2">
        <v>2025</v>
      </c>
      <c r="B244" t="s">
        <v>8</v>
      </c>
      <c r="C244" s="61">
        <f>(Indeks!C246/Indeks!C$163*Indeks!C$160)/(Indeks!$H246/Indeks!$H$163)</f>
        <v>0.58560134487925164</v>
      </c>
      <c r="D244" s="61">
        <f>(Indeks!D246/Indeks!D$163*Indeks!D$160)/(Indeks!$H246/Indeks!$H$163)</f>
        <v>0.2455966286038565</v>
      </c>
      <c r="E244" s="61">
        <f>(Indeks!E246/Indeks!E$163*Indeks!E$160)/(Indeks!$H246/Indeks!$H$163)</f>
        <v>7.0981995292912187E-2</v>
      </c>
      <c r="F244" s="61">
        <f>(Indeks!F246/Indeks!F$163*Indeks!F$160)/(Indeks!$H246/Indeks!$H$163)</f>
        <v>7.5822835283900783E-2</v>
      </c>
      <c r="G244" s="61">
        <f>(Indeks!G246/Indeks!G$163*Indeks!G$160)/(Indeks!$H246/Indeks!$H$163)</f>
        <v>2.1997195940078932E-2</v>
      </c>
      <c r="H244" s="61">
        <f t="shared" ref="H244:H255" si="35">SUM(C244:G244)</f>
        <v>1</v>
      </c>
    </row>
    <row r="245" spans="1:8" x14ac:dyDescent="0.2">
      <c r="A245" s="10">
        <f>A244</f>
        <v>2025</v>
      </c>
      <c r="B245" t="s">
        <v>9</v>
      </c>
      <c r="C245" s="61">
        <f>(Indeks!C247/Indeks!C$163*Indeks!C$160)/(Indeks!$H247/Indeks!$H$163)</f>
        <v>0.58679908672462355</v>
      </c>
      <c r="D245" s="61">
        <f>(Indeks!D247/Indeks!D$163*Indeks!D$160)/(Indeks!$H247/Indeks!$H$163)</f>
        <v>0.2428093077451729</v>
      </c>
      <c r="E245" s="61">
        <f>(Indeks!E247/Indeks!E$163*Indeks!E$160)/(Indeks!$H247/Indeks!$H$163)</f>
        <v>7.0948164802109345E-2</v>
      </c>
      <c r="F245" s="61">
        <f>(Indeks!F247/Indeks!F$163*Indeks!F$160)/(Indeks!$H247/Indeks!$H$163)</f>
        <v>7.6162928368894656E-2</v>
      </c>
      <c r="G245" s="61">
        <f>(Indeks!G247/Indeks!G$163*Indeks!G$160)/(Indeks!$H247/Indeks!$H$163)</f>
        <v>2.3280512359199451E-2</v>
      </c>
      <c r="H245" s="61">
        <f t="shared" si="35"/>
        <v>1</v>
      </c>
    </row>
    <row r="246" spans="1:8" x14ac:dyDescent="0.2">
      <c r="A246" s="12">
        <f t="shared" ref="A246:A255" si="36">A245</f>
        <v>2025</v>
      </c>
      <c r="B246" s="13" t="s">
        <v>10</v>
      </c>
      <c r="C246" s="78">
        <f>(Indeks!C248/Indeks!C$163*Indeks!C$160)/(Indeks!$H248/Indeks!$H$163)</f>
        <v>0.58675583351073834</v>
      </c>
      <c r="D246" s="78">
        <f>(Indeks!D248/Indeks!D$163*Indeks!D$160)/(Indeks!$H248/Indeks!$H$163)</f>
        <v>0.24279141016632722</v>
      </c>
      <c r="E246" s="78">
        <f>(Indeks!E248/Indeks!E$163*Indeks!E$160)/(Indeks!$H248/Indeks!$H$163)</f>
        <v>7.1013204874886035E-2</v>
      </c>
      <c r="F246" s="78">
        <f>(Indeks!F248/Indeks!F$163*Indeks!F$160)/(Indeks!$H248/Indeks!$H$163)</f>
        <v>7.6160755105460262E-2</v>
      </c>
      <c r="G246" s="78">
        <f>(Indeks!G248/Indeks!G$163*Indeks!G$160)/(Indeks!$H248/Indeks!$H$163)</f>
        <v>2.3278796342587952E-2</v>
      </c>
      <c r="H246" s="78">
        <f t="shared" si="35"/>
        <v>0.99999999999999989</v>
      </c>
    </row>
    <row r="247" spans="1:8" x14ac:dyDescent="0.2">
      <c r="A247" s="17">
        <f t="shared" si="36"/>
        <v>2025</v>
      </c>
      <c r="B247" s="18" t="s">
        <v>11</v>
      </c>
      <c r="C247" s="79">
        <f>(Indeks!C249/Indeks!C$163*Indeks!C$160)/(Indeks!$H249/Indeks!$H$163)</f>
        <v>0.58928682380344422</v>
      </c>
      <c r="D247" s="79">
        <f>(Indeks!D249/Indeks!D$163*Indeks!D$160)/(Indeks!$H249/Indeks!$H$163)</f>
        <v>0.2412613147429721</v>
      </c>
      <c r="E247" s="79">
        <f>(Indeks!E249/Indeks!E$163*Indeks!E$160)/(Indeks!$H249/Indeks!$H$163)</f>
        <v>7.0635568661092885E-2</v>
      </c>
      <c r="F247" s="79">
        <f>(Indeks!F249/Indeks!F$163*Indeks!F$160)/(Indeks!$H249/Indeks!$H$163)</f>
        <v>7.5684201721397532E-2</v>
      </c>
      <c r="G247" s="79">
        <f>(Indeks!G249/Indeks!G$163*Indeks!G$160)/(Indeks!$H249/Indeks!$H$163)</f>
        <v>2.3132091071093347E-2</v>
      </c>
      <c r="H247" s="79">
        <f t="shared" si="35"/>
        <v>1</v>
      </c>
    </row>
    <row r="248" spans="1:8" x14ac:dyDescent="0.2">
      <c r="A248" s="10">
        <f t="shared" si="36"/>
        <v>2025</v>
      </c>
      <c r="B248" t="s">
        <v>12</v>
      </c>
      <c r="C248" s="77">
        <f>(Indeks!C250/Indeks!C$163*Indeks!C$160)/(Indeks!$H250/Indeks!$H$163)</f>
        <v>0.58924358239476282</v>
      </c>
      <c r="D248" s="77">
        <f>(Indeks!D250/Indeks!D$163*Indeks!D$160)/(Indeks!$H250/Indeks!$H$163)</f>
        <v>0.24124361117539109</v>
      </c>
      <c r="E248" s="77">
        <f>(Indeks!E250/Indeks!E$163*Indeks!E$160)/(Indeks!$H250/Indeks!$H$163)</f>
        <v>7.0700345587001862E-2</v>
      </c>
      <c r="F248" s="77">
        <f>(Indeks!F250/Indeks!F$163*Indeks!F$160)/(Indeks!$H250/Indeks!$H$163)</f>
        <v>7.568206718659759E-2</v>
      </c>
      <c r="G248" s="77">
        <f>(Indeks!G250/Indeks!G$163*Indeks!G$160)/(Indeks!$H250/Indeks!$H$163)</f>
        <v>2.3130393656246695E-2</v>
      </c>
      <c r="H248" s="77">
        <f t="shared" si="35"/>
        <v>1</v>
      </c>
    </row>
    <row r="249" spans="1:8" x14ac:dyDescent="0.2">
      <c r="A249" s="12">
        <f t="shared" si="36"/>
        <v>2025</v>
      </c>
      <c r="B249" s="13" t="s">
        <v>13</v>
      </c>
      <c r="C249" s="78">
        <f>(Indeks!C251/Indeks!C$163*Indeks!C$160)/(Indeks!$H251/Indeks!$H$163)</f>
        <v>0.5892003064143061</v>
      </c>
      <c r="D249" s="78">
        <f>(Indeks!D251/Indeks!D$163*Indeks!D$160)/(Indeks!$H251/Indeks!$H$163)</f>
        <v>0.2412258934536976</v>
      </c>
      <c r="E249" s="78">
        <f>(Indeks!E251/Indeks!E$163*Indeks!E$160)/(Indeks!$H251/Indeks!$H$163)</f>
        <v>7.0765177383828204E-2</v>
      </c>
      <c r="F249" s="78">
        <f>(Indeks!F251/Indeks!F$163*Indeks!F$160)/(Indeks!$H251/Indeks!$H$163)</f>
        <v>7.5679927863861879E-2</v>
      </c>
      <c r="G249" s="78">
        <f>(Indeks!G251/Indeks!G$163*Indeks!G$160)/(Indeks!$H251/Indeks!$H$163)</f>
        <v>2.312869488430631E-2</v>
      </c>
      <c r="H249" s="78">
        <f t="shared" si="35"/>
        <v>1</v>
      </c>
    </row>
    <row r="250" spans="1:8" x14ac:dyDescent="0.2">
      <c r="A250" s="17">
        <f t="shared" si="36"/>
        <v>2025</v>
      </c>
      <c r="B250" s="22" t="s">
        <v>30</v>
      </c>
      <c r="C250" s="79">
        <f>(Indeks!C252/Indeks!C$163*Indeks!C$160)/(Indeks!$H252/Indeks!$H$163)</f>
        <v>0.5917266431659447</v>
      </c>
      <c r="D250" s="79">
        <f>(Indeks!D252/Indeks!D$163*Indeks!D$160)/(Indeks!$H252/Indeks!$H$163)</f>
        <v>0.23969950765044792</v>
      </c>
      <c r="E250" s="79">
        <f>(Indeks!E252/Indeks!E$163*Indeks!E$160)/(Indeks!$H252/Indeks!$H$163)</f>
        <v>7.0387052323537633E-2</v>
      </c>
      <c r="F250" s="79">
        <f>(Indeks!F252/Indeks!F$163*Indeks!F$160)/(Indeks!$H252/Indeks!$H$163)</f>
        <v>7.5204451569555478E-2</v>
      </c>
      <c r="G250" s="79">
        <f>(Indeks!G252/Indeks!G$163*Indeks!G$160)/(Indeks!$H252/Indeks!$H$163)</f>
        <v>2.2982345290514152E-2</v>
      </c>
      <c r="H250" s="79">
        <f t="shared" si="35"/>
        <v>0.99999999999999978</v>
      </c>
    </row>
    <row r="251" spans="1:8" x14ac:dyDescent="0.2">
      <c r="A251" s="10">
        <f t="shared" si="36"/>
        <v>2025</v>
      </c>
      <c r="B251" t="s">
        <v>14</v>
      </c>
      <c r="C251" s="77">
        <f>(Indeks!C253/Indeks!C$163*Indeks!C$160)/(Indeks!$H253/Indeks!$H$163)</f>
        <v>0.59168338118577168</v>
      </c>
      <c r="D251" s="77">
        <f>(Indeks!D253/Indeks!D$163*Indeks!D$160)/(Indeks!$H253/Indeks!$H$163)</f>
        <v>0.23968198287702897</v>
      </c>
      <c r="E251" s="77">
        <f>(Indeks!E253/Indeks!E$163*Indeks!E$160)/(Indeks!$H253/Indeks!$H$163)</f>
        <v>7.0451620213372992E-2</v>
      </c>
      <c r="F251" s="77">
        <f>(Indeks!F253/Indeks!F$163*Indeks!F$160)/(Indeks!$H253/Indeks!$H$163)</f>
        <v>7.5202350705407081E-2</v>
      </c>
      <c r="G251" s="77">
        <f>(Indeks!G253/Indeks!G$163*Indeks!G$160)/(Indeks!$H253/Indeks!$H$163)</f>
        <v>2.2980665018419309E-2</v>
      </c>
      <c r="H251" s="77">
        <f t="shared" si="35"/>
        <v>1</v>
      </c>
    </row>
    <row r="252" spans="1:8" x14ac:dyDescent="0.2">
      <c r="A252" s="12">
        <f t="shared" si="36"/>
        <v>2025</v>
      </c>
      <c r="B252" s="13" t="s">
        <v>15</v>
      </c>
      <c r="C252" s="78">
        <f>(Indeks!C254/Indeks!C$163*Indeks!C$160)/(Indeks!$H254/Indeks!$H$163)</f>
        <v>0.59164008458903394</v>
      </c>
      <c r="D252" s="78">
        <f>(Indeks!D254/Indeks!D$163*Indeks!D$160)/(Indeks!$H254/Indeks!$H$163)</f>
        <v>0.23966444408096355</v>
      </c>
      <c r="E252" s="78">
        <f>(Indeks!E254/Indeks!E$163*Indeks!E$160)/(Indeks!$H254/Indeks!$H$163)</f>
        <v>7.0516242830173506E-2</v>
      </c>
      <c r="F252" s="78">
        <f>(Indeks!F254/Indeks!F$163*Indeks!F$160)/(Indeks!$H254/Indeks!$H$163)</f>
        <v>7.5200245097993237E-2</v>
      </c>
      <c r="G252" s="78">
        <f>(Indeks!G254/Indeks!G$163*Indeks!G$160)/(Indeks!$H254/Indeks!$H$163)</f>
        <v>2.297898340183567E-2</v>
      </c>
      <c r="H252" s="78">
        <f t="shared" si="35"/>
        <v>1</v>
      </c>
    </row>
    <row r="253" spans="1:8" x14ac:dyDescent="0.2">
      <c r="A253" s="10">
        <f t="shared" si="36"/>
        <v>2025</v>
      </c>
      <c r="B253" t="s">
        <v>16</v>
      </c>
      <c r="C253" s="79">
        <f>(Indeks!C255/Indeks!C$163*Indeks!C$160)/(Indeks!$H255/Indeks!$H$163)</f>
        <v>0.59416165257908515</v>
      </c>
      <c r="D253" s="79">
        <f>(Indeks!D255/Indeks!D$163*Indeks!D$160)/(Indeks!$H255/Indeks!$H$163)</f>
        <v>0.23814183434809644</v>
      </c>
      <c r="E253" s="79">
        <f>(Indeks!E255/Indeks!E$163*Indeks!E$160)/(Indeks!$H255/Indeks!$H$163)</f>
        <v>7.0137650112739536E-2</v>
      </c>
      <c r="F253" s="79">
        <f>(Indeks!F255/Indeks!F$163*Indeks!F$160)/(Indeks!$H255/Indeks!$H$163)</f>
        <v>7.4725867103092494E-2</v>
      </c>
      <c r="G253" s="79">
        <f>(Indeks!G255/Indeks!G$163*Indeks!G$160)/(Indeks!$H255/Indeks!$H$163)</f>
        <v>2.2832995856986477E-2</v>
      </c>
      <c r="H253" s="79">
        <f t="shared" si="35"/>
        <v>1</v>
      </c>
    </row>
    <row r="254" spans="1:8" x14ac:dyDescent="0.2">
      <c r="A254" s="10">
        <f t="shared" si="36"/>
        <v>2025</v>
      </c>
      <c r="B254" t="s">
        <v>17</v>
      </c>
      <c r="C254" s="77">
        <f>(Indeks!C256/Indeks!C$163*Indeks!C$160)/(Indeks!$H256/Indeks!$H$163)</f>
        <v>0.59411837217460928</v>
      </c>
      <c r="D254" s="77">
        <f>(Indeks!D256/Indeks!D$163*Indeks!D$160)/(Indeks!$H256/Indeks!$H$163)</f>
        <v>0.23812448742766076</v>
      </c>
      <c r="E254" s="77">
        <f>(Indeks!E256/Indeks!E$163*Indeks!E$160)/(Indeks!$H256/Indeks!$H$163)</f>
        <v>7.0202008078303665E-2</v>
      </c>
      <c r="F254" s="77">
        <f>(Indeks!F256/Indeks!F$163*Indeks!F$160)/(Indeks!$H256/Indeks!$H$163)</f>
        <v>7.4723799682022918E-2</v>
      </c>
      <c r="G254" s="77">
        <f>(Indeks!G256/Indeks!G$163*Indeks!G$160)/(Indeks!$H256/Indeks!$H$163)</f>
        <v>2.2831332637403393E-2</v>
      </c>
      <c r="H254" s="77">
        <f t="shared" si="35"/>
        <v>1</v>
      </c>
    </row>
    <row r="255" spans="1:8" ht="13.5" thickBot="1" x14ac:dyDescent="0.25">
      <c r="A255" s="30">
        <f t="shared" si="36"/>
        <v>2025</v>
      </c>
      <c r="B255" s="31" t="s">
        <v>18</v>
      </c>
      <c r="C255" s="250">
        <f>(Indeks!C257/Indeks!C$163*Indeks!C$160)/(Indeks!$H257/Indeks!$H$163)</f>
        <v>0.59407505711041397</v>
      </c>
      <c r="D255" s="250">
        <f>(Indeks!D257/Indeks!D$163*Indeks!D$160)/(Indeks!$H257/Indeks!$H$163)</f>
        <v>0.23810712661550201</v>
      </c>
      <c r="E255" s="250">
        <f>(Indeks!E257/Indeks!E$163*Indeks!E$160)/(Indeks!$H257/Indeks!$H$163)</f>
        <v>7.0266420626023479E-2</v>
      </c>
      <c r="F255" s="250">
        <f>(Indeks!F257/Indeks!F$163*Indeks!F$160)/(Indeks!$H257/Indeks!$H$163)</f>
        <v>7.472172756217603E-2</v>
      </c>
      <c r="G255" s="250">
        <f>(Indeks!G257/Indeks!G$163*Indeks!G$160)/(Indeks!$H257/Indeks!$H$163)</f>
        <v>2.2829668085884422E-2</v>
      </c>
      <c r="H255" s="250">
        <f t="shared" si="35"/>
        <v>0.99999999999999989</v>
      </c>
    </row>
    <row r="256" spans="1:8" x14ac:dyDescent="0.2">
      <c r="A256" s="2">
        <v>2026</v>
      </c>
      <c r="B256" t="s">
        <v>8</v>
      </c>
      <c r="C256" s="77">
        <f>(Indeks!C258/Indeks!C$163*Indeks!C$160)/(Indeks!$H258/Indeks!$H$163)</f>
        <v>0.59647903684716186</v>
      </c>
      <c r="D256" s="77">
        <f>(Indeks!D258/Indeks!D$163*Indeks!D$160)/(Indeks!$H258/Indeks!$H$163)</f>
        <v>0.23665464917520543</v>
      </c>
      <c r="E256" s="77">
        <f>(Indeks!E258/Indeks!E$163*Indeks!E$160)/(Indeks!$H258/Indeks!$H$163)</f>
        <v>6.9886488364158797E-2</v>
      </c>
      <c r="F256" s="77">
        <f>(Indeks!F258/Indeks!F$163*Indeks!F$160)/(Indeks!$H258/Indeks!$H$163)</f>
        <v>7.4289420800955311E-2</v>
      </c>
      <c r="G256" s="77">
        <f>(Indeks!G258/Indeks!G$163*Indeks!G$160)/(Indeks!$H258/Indeks!$H$163)</f>
        <v>2.2690404812518595E-2</v>
      </c>
      <c r="H256" s="77">
        <f t="shared" ref="H256:H267" si="37">SUM(C256:G256)</f>
        <v>1</v>
      </c>
    </row>
    <row r="257" spans="1:8" x14ac:dyDescent="0.2">
      <c r="A257" s="10">
        <f>A256</f>
        <v>2026</v>
      </c>
      <c r="B257" t="s">
        <v>9</v>
      </c>
      <c r="C257" s="77">
        <f>(Indeks!C259/Indeks!C$163*Indeks!C$160)/(Indeks!$H259/Indeks!$H$163)</f>
        <v>0.59643594752682683</v>
      </c>
      <c r="D257" s="77">
        <f>(Indeks!D259/Indeks!D$163*Indeks!D$160)/(Indeks!$H259/Indeks!$H$163)</f>
        <v>0.23663755337240744</v>
      </c>
      <c r="E257" s="77">
        <f>(Indeks!E259/Indeks!E$163*Indeks!E$160)/(Indeks!$H259/Indeks!$H$163)</f>
        <v>6.993017021878313E-2</v>
      </c>
      <c r="F257" s="77">
        <f>(Indeks!F259/Indeks!F$163*Indeks!F$160)/(Indeks!$H259/Indeks!$H$163)</f>
        <v>7.4307563211933436E-2</v>
      </c>
      <c r="G257" s="77">
        <f>(Indeks!G259/Indeks!G$163*Indeks!G$160)/(Indeks!$H259/Indeks!$H$163)</f>
        <v>2.2688765670049037E-2</v>
      </c>
      <c r="H257" s="77">
        <f t="shared" si="37"/>
        <v>0.99999999999999989</v>
      </c>
    </row>
    <row r="258" spans="1:8" x14ac:dyDescent="0.2">
      <c r="A258" s="12">
        <f t="shared" ref="A258:A267" si="38">A257</f>
        <v>2026</v>
      </c>
      <c r="B258" s="13" t="s">
        <v>10</v>
      </c>
      <c r="C258" s="78">
        <f>(Indeks!C260/Indeks!C$163*Indeks!C$160)/(Indeks!$H260/Indeks!$H$163)</f>
        <v>0.59639283973002</v>
      </c>
      <c r="D258" s="78">
        <f>(Indeks!D260/Indeks!D$163*Indeks!D$160)/(Indeks!$H260/Indeks!$H$163)</f>
        <v>0.23662045023901992</v>
      </c>
      <c r="E258" s="78">
        <f>(Indeks!E260/Indeks!E$163*Indeks!E$160)/(Indeks!$H260/Indeks!$H$163)</f>
        <v>6.9973876843285474E-2</v>
      </c>
      <c r="F258" s="78">
        <f>(Indeks!F260/Indeks!F$163*Indeks!F$160)/(Indeks!$H260/Indeks!$H$163)</f>
        <v>7.4325707362950855E-2</v>
      </c>
      <c r="G258" s="78">
        <f>(Indeks!G260/Indeks!G$163*Indeks!G$160)/(Indeks!$H260/Indeks!$H$163)</f>
        <v>2.2687125824723889E-2</v>
      </c>
      <c r="H258" s="78">
        <f t="shared" si="37"/>
        <v>1.0000000000000002</v>
      </c>
    </row>
    <row r="259" spans="1:8" x14ac:dyDescent="0.2">
      <c r="A259" s="17">
        <f t="shared" si="38"/>
        <v>2026</v>
      </c>
      <c r="B259" s="18" t="s">
        <v>11</v>
      </c>
      <c r="C259" s="79">
        <f>(Indeks!C261/Indeks!C$163*Indeks!C$160)/(Indeks!$H261/Indeks!$H$163)</f>
        <v>0.59879231229071239</v>
      </c>
      <c r="D259" s="79">
        <f>(Indeks!D261/Indeks!D$163*Indeks!D$160)/(Indeks!$H261/Indeks!$H$163)</f>
        <v>0.23517158792561116</v>
      </c>
      <c r="E259" s="79">
        <f>(Indeks!E261/Indeks!E$163*Indeks!E$160)/(Indeks!$H261/Indeks!$H$163)</f>
        <v>6.9593912454634754E-2</v>
      </c>
      <c r="F259" s="79">
        <f>(Indeks!F261/Indeks!F$163*Indeks!F$160)/(Indeks!$H261/Indeks!$H$163)</f>
        <v>7.3893978159973756E-2</v>
      </c>
      <c r="G259" s="79">
        <f>(Indeks!G261/Indeks!G$163*Indeks!G$160)/(Indeks!$H261/Indeks!$H$163)</f>
        <v>2.2548209169067957E-2</v>
      </c>
      <c r="H259" s="79">
        <f t="shared" si="37"/>
        <v>1</v>
      </c>
    </row>
    <row r="260" spans="1:8" x14ac:dyDescent="0.2">
      <c r="A260" s="10">
        <f t="shared" si="38"/>
        <v>2026</v>
      </c>
      <c r="B260" t="s">
        <v>12</v>
      </c>
      <c r="C260" s="77">
        <f>(Indeks!C262/Indeks!C$163*Indeks!C$160)/(Indeks!$H262/Indeks!$H$163)</f>
        <v>0.59874925293643155</v>
      </c>
      <c r="D260" s="77">
        <f>(Indeks!D262/Indeks!D$163*Indeks!D$160)/(Indeks!$H262/Indeks!$H$163)</f>
        <v>0.23515467665852671</v>
      </c>
      <c r="E260" s="77">
        <f>(Indeks!E262/Indeks!E$163*Indeks!E$160)/(Indeks!$H262/Indeks!$H$163)</f>
        <v>6.9637434358466185E-2</v>
      </c>
      <c r="F260" s="77">
        <f>(Indeks!F262/Indeks!F$163*Indeks!F$160)/(Indeks!$H262/Indeks!$H$163)</f>
        <v>7.3912048326726418E-2</v>
      </c>
      <c r="G260" s="77">
        <f>(Indeks!G262/Indeks!G$163*Indeks!G$160)/(Indeks!$H262/Indeks!$H$163)</f>
        <v>2.2546587719849121E-2</v>
      </c>
      <c r="H260" s="77">
        <f t="shared" si="37"/>
        <v>0.99999999999999989</v>
      </c>
    </row>
    <row r="261" spans="1:8" x14ac:dyDescent="0.2">
      <c r="A261" s="12">
        <f t="shared" si="38"/>
        <v>2026</v>
      </c>
      <c r="B261" s="13" t="s">
        <v>13</v>
      </c>
      <c r="C261" s="78">
        <f>(Indeks!C263/Indeks!C$163*Indeks!C$160)/(Indeks!$H263/Indeks!$H$163)</f>
        <v>0.5987061750860545</v>
      </c>
      <c r="D261" s="78">
        <f>(Indeks!D263/Indeks!D$163*Indeks!D$160)/(Indeks!$H263/Indeks!$H$163)</f>
        <v>0.23513775812722687</v>
      </c>
      <c r="E261" s="78">
        <f>(Indeks!E263/Indeks!E$163*Indeks!E$160)/(Indeks!$H263/Indeks!$H$163)</f>
        <v>6.9680980966500453E-2</v>
      </c>
      <c r="F261" s="78">
        <f>(Indeks!F263/Indeks!F$163*Indeks!F$160)/(Indeks!$H263/Indeks!$H$163)</f>
        <v>7.3930120246079423E-2</v>
      </c>
      <c r="G261" s="78">
        <f>(Indeks!G263/Indeks!G$163*Indeks!G$160)/(Indeks!$H263/Indeks!$H$163)</f>
        <v>2.2544965574138633E-2</v>
      </c>
      <c r="H261" s="78">
        <f t="shared" si="37"/>
        <v>0.99999999999999989</v>
      </c>
    </row>
    <row r="262" spans="1:8" x14ac:dyDescent="0.2">
      <c r="A262" s="17">
        <f t="shared" si="38"/>
        <v>2026</v>
      </c>
      <c r="B262" s="22" t="s">
        <v>30</v>
      </c>
      <c r="C262" s="79">
        <f>(Indeks!C264/Indeks!C$163*Indeks!C$160)/(Indeks!$H264/Indeks!$H$163)</f>
        <v>0.60110104258266739</v>
      </c>
      <c r="D262" s="79">
        <f>(Indeks!D264/Indeks!D$163*Indeks!D$160)/(Indeks!$H264/Indeks!$H$163)</f>
        <v>0.23369256580541442</v>
      </c>
      <c r="E262" s="79">
        <f>(Indeks!E264/Indeks!E$163*Indeks!E$160)/(Indeks!$H264/Indeks!$H$163)</f>
        <v>6.9301003074959705E-2</v>
      </c>
      <c r="F262" s="79">
        <f>(Indeks!F264/Indeks!F$163*Indeks!F$160)/(Indeks!$H264/Indeks!$H$163)</f>
        <v>7.3498987740347591E-2</v>
      </c>
      <c r="G262" s="79">
        <f>(Indeks!G264/Indeks!G$163*Indeks!G$160)/(Indeks!$H264/Indeks!$H$163)</f>
        <v>2.2406400796610892E-2</v>
      </c>
      <c r="H262" s="79">
        <f t="shared" si="37"/>
        <v>1</v>
      </c>
    </row>
    <row r="263" spans="1:8" x14ac:dyDescent="0.2">
      <c r="A263" s="10">
        <f t="shared" si="38"/>
        <v>2026</v>
      </c>
      <c r="B263" t="s">
        <v>14</v>
      </c>
      <c r="C263" s="77">
        <f>(Indeks!C265/Indeks!C$163*Indeks!C$160)/(Indeks!$H265/Indeks!$H$163)</f>
        <v>0.60105801509636259</v>
      </c>
      <c r="D263" s="77">
        <f>(Indeks!D265/Indeks!D$163*Indeks!D$160)/(Indeks!$H265/Indeks!$H$163)</f>
        <v>0.23367583782964599</v>
      </c>
      <c r="E263" s="77">
        <f>(Indeks!E265/Indeks!E$163*Indeks!E$160)/(Indeks!$H265/Indeks!$H$163)</f>
        <v>6.9344364632841146E-2</v>
      </c>
      <c r="F263" s="77">
        <f>(Indeks!F265/Indeks!F$163*Indeks!F$160)/(Indeks!$H265/Indeks!$H$163)</f>
        <v>7.3516985519819944E-2</v>
      </c>
      <c r="G263" s="77">
        <f>(Indeks!G265/Indeks!G$163*Indeks!G$160)/(Indeks!$H265/Indeks!$H$163)</f>
        <v>2.240479692133017E-2</v>
      </c>
      <c r="H263" s="77">
        <f t="shared" si="37"/>
        <v>0.99999999999999978</v>
      </c>
    </row>
    <row r="264" spans="1:8" x14ac:dyDescent="0.2">
      <c r="A264" s="12">
        <f t="shared" si="38"/>
        <v>2026</v>
      </c>
      <c r="B264" s="13" t="s">
        <v>15</v>
      </c>
      <c r="C264" s="78">
        <f>(Indeks!C266/Indeks!C$163*Indeks!C$160)/(Indeks!$H266/Indeks!$H$163)</f>
        <v>0.60101496909519514</v>
      </c>
      <c r="D264" s="78">
        <f>(Indeks!D266/Indeks!D$163*Indeks!D$160)/(Indeks!$H266/Indeks!$H$163)</f>
        <v>0.23365910265577694</v>
      </c>
      <c r="E264" s="78">
        <f>(Indeks!E266/Indeks!E$163*Indeks!E$160)/(Indeks!$H266/Indeks!$H$163)</f>
        <v>6.9387750828857092E-2</v>
      </c>
      <c r="F264" s="78">
        <f>(Indeks!F266/Indeks!F$163*Indeks!F$160)/(Indeks!$H266/Indeks!$H$163)</f>
        <v>7.3534985064273806E-2</v>
      </c>
      <c r="G264" s="78">
        <f>(Indeks!G266/Indeks!G$163*Indeks!G$160)/(Indeks!$H266/Indeks!$H$163)</f>
        <v>2.240319235589687E-2</v>
      </c>
      <c r="H264" s="78">
        <f t="shared" si="37"/>
        <v>0.99999999999999978</v>
      </c>
    </row>
    <row r="265" spans="1:8" x14ac:dyDescent="0.2">
      <c r="A265" s="10">
        <f t="shared" si="38"/>
        <v>2026</v>
      </c>
      <c r="B265" t="s">
        <v>16</v>
      </c>
      <c r="C265" s="79">
        <f>(Indeks!C267/Indeks!C$163*Indeks!C$160)/(Indeks!$H267/Indeks!$H$163)</f>
        <v>0.60340513445934574</v>
      </c>
      <c r="D265" s="79">
        <f>(Indeks!D267/Indeks!D$163*Indeks!D$160)/(Indeks!$H267/Indeks!$H$163)</f>
        <v>0.23221763460345093</v>
      </c>
      <c r="E265" s="79">
        <f>(Indeks!E267/Indeks!E$163*Indeks!E$160)/(Indeks!$H267/Indeks!$H$163)</f>
        <v>6.9007778008685544E-2</v>
      </c>
      <c r="F265" s="79">
        <f>(Indeks!F267/Indeks!F$163*Indeks!F$160)/(Indeks!$H267/Indeks!$H$163)</f>
        <v>7.3104468267866179E-2</v>
      </c>
      <c r="G265" s="79">
        <f>(Indeks!G267/Indeks!G$163*Indeks!G$160)/(Indeks!$H267/Indeks!$H$163)</f>
        <v>2.226498466065157E-2</v>
      </c>
      <c r="H265" s="79">
        <f t="shared" si="37"/>
        <v>0.99999999999999989</v>
      </c>
    </row>
    <row r="266" spans="1:8" x14ac:dyDescent="0.2">
      <c r="A266" s="10">
        <f t="shared" si="38"/>
        <v>2026</v>
      </c>
      <c r="B266" t="s">
        <v>17</v>
      </c>
      <c r="C266" s="77">
        <f>(Indeks!C268/Indeks!C$163*Indeks!C$160)/(Indeks!$H268/Indeks!$H$163)</f>
        <v>0.6033621407346591</v>
      </c>
      <c r="D266" s="77">
        <f>(Indeks!D268/Indeks!D$163*Indeks!D$160)/(Indeks!$H268/Indeks!$H$163)</f>
        <v>0.23220108867024725</v>
      </c>
      <c r="E266" s="77">
        <f>(Indeks!E268/Indeks!E$163*Indeks!E$160)/(Indeks!$H268/Indeks!$H$163)</f>
        <v>6.9050978834919119E-2</v>
      </c>
      <c r="F266" s="77">
        <f>(Indeks!F268/Indeks!F$163*Indeks!F$160)/(Indeks!$H268/Indeks!$H$163)</f>
        <v>7.3122393520595463E-2</v>
      </c>
      <c r="G266" s="77">
        <f>(Indeks!G268/Indeks!G$163*Indeks!G$160)/(Indeks!$H268/Indeks!$H$163)</f>
        <v>2.2263398239578919E-2</v>
      </c>
      <c r="H266" s="77">
        <f t="shared" si="37"/>
        <v>0.99999999999999978</v>
      </c>
    </row>
    <row r="267" spans="1:8" x14ac:dyDescent="0.2">
      <c r="A267" s="302">
        <f t="shared" si="38"/>
        <v>2026</v>
      </c>
      <c r="B267" s="317" t="s">
        <v>18</v>
      </c>
      <c r="C267" s="318">
        <f>(Indeks!C269/Indeks!C$163*Indeks!C$160)/(Indeks!$H269/Indeks!$H$163)</f>
        <v>0.60331912847720304</v>
      </c>
      <c r="D267" s="318">
        <f>(Indeks!D269/Indeks!D$163*Indeks!D$160)/(Indeks!$H269/Indeks!$H$163)</f>
        <v>0.23218453560479418</v>
      </c>
      <c r="E267" s="318">
        <f>(Indeks!E269/Indeks!E$163*Indeks!E$160)/(Indeks!$H269/Indeks!$H$163)</f>
        <v>6.9094204232828832E-2</v>
      </c>
      <c r="F267" s="318">
        <f>(Indeks!F269/Indeks!F$163*Indeks!F$160)/(Indeks!$H269/Indeks!$H$163)</f>
        <v>7.3140320550506441E-2</v>
      </c>
      <c r="G267" s="318">
        <f>(Indeks!G269/Indeks!G$163*Indeks!G$160)/(Indeks!$H269/Indeks!$H$163)</f>
        <v>2.2261811134667492E-2</v>
      </c>
      <c r="H267" s="318">
        <f t="shared" si="37"/>
        <v>1</v>
      </c>
    </row>
  </sheetData>
  <phoneticPr fontId="4" type="noConversion"/>
  <pageMargins left="0.74803149606299213" right="0.74803149606299213" top="0.78740157480314965" bottom="0.39370078740157483" header="0" footer="0"/>
  <pageSetup paperSize="9" fitToHeight="0" orientation="portrait" r:id="rId1"/>
  <headerFooter alignWithMargins="0">
    <oddHeader>&amp;L&amp;G&amp;R&amp;14
&amp;"Arial,Fed"HVO&amp;"Arial,Normal" &amp;"Arial,Fed"Omkostningsindeks</oddHeader>
    <oddFooter>&amp;L&amp;D&amp;RKontaktinformation: FynBus (HNB/JNB)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66"/>
  <sheetViews>
    <sheetView zoomScaleNormal="100" workbookViewId="0">
      <selection activeCell="M234" sqref="M234"/>
    </sheetView>
  </sheetViews>
  <sheetFormatPr defaultRowHeight="12.75" x14ac:dyDescent="0.2"/>
  <cols>
    <col min="1" max="1" width="5.5703125" customWidth="1"/>
    <col min="2" max="2" width="9.5703125" customWidth="1"/>
    <col min="3" max="3" width="8.5703125" customWidth="1"/>
    <col min="4" max="4" width="9.5703125" bestFit="1" customWidth="1"/>
    <col min="5" max="6" width="10.140625" customWidth="1"/>
    <col min="7" max="7" width="11.140625" customWidth="1"/>
    <col min="8" max="8" width="9.5703125" customWidth="1"/>
    <col min="9" max="9" width="10.42578125" style="40" customWidth="1"/>
  </cols>
  <sheetData>
    <row r="1" spans="1:9" ht="18" customHeight="1" x14ac:dyDescent="0.3">
      <c r="A1" s="27" t="s">
        <v>35</v>
      </c>
      <c r="C1" s="2"/>
      <c r="H1" s="73" t="s">
        <v>31</v>
      </c>
    </row>
    <row r="2" spans="1:9" ht="15" customHeight="1" thickBot="1" x14ac:dyDescent="0.3">
      <c r="A2" s="26" t="s">
        <v>1</v>
      </c>
      <c r="B2" s="26" t="s">
        <v>2</v>
      </c>
      <c r="C2" s="26" t="s">
        <v>0</v>
      </c>
      <c r="D2" s="26" t="s">
        <v>20</v>
      </c>
      <c r="E2" s="26" t="s">
        <v>33</v>
      </c>
      <c r="F2" s="26" t="s">
        <v>36</v>
      </c>
      <c r="G2" s="26" t="s">
        <v>34</v>
      </c>
      <c r="H2" s="26" t="s">
        <v>47</v>
      </c>
      <c r="I2" s="25"/>
    </row>
    <row r="3" spans="1:9" ht="15" hidden="1" x14ac:dyDescent="0.2">
      <c r="A3" s="2">
        <v>2005</v>
      </c>
      <c r="B3" t="s">
        <v>8</v>
      </c>
      <c r="C3" s="85" t="s">
        <v>19</v>
      </c>
      <c r="D3" s="83" t="s">
        <v>19</v>
      </c>
      <c r="E3" s="83"/>
      <c r="F3" s="83"/>
      <c r="G3" s="83"/>
      <c r="H3" s="133"/>
      <c r="I3" s="67"/>
    </row>
    <row r="4" spans="1:9" ht="15" hidden="1" x14ac:dyDescent="0.2">
      <c r="A4" s="10">
        <f>A3</f>
        <v>2005</v>
      </c>
      <c r="B4" t="s">
        <v>9</v>
      </c>
      <c r="C4" s="85" t="s">
        <v>19</v>
      </c>
      <c r="D4" s="95" t="s">
        <v>19</v>
      </c>
      <c r="E4" s="95"/>
      <c r="F4" s="95"/>
      <c r="G4" s="95"/>
      <c r="H4" s="133"/>
      <c r="I4" s="80"/>
    </row>
    <row r="5" spans="1:9" ht="15" hidden="1" x14ac:dyDescent="0.2">
      <c r="A5" s="12">
        <f t="shared" ref="A5:A14" si="0">A4</f>
        <v>2005</v>
      </c>
      <c r="B5" s="13" t="s">
        <v>10</v>
      </c>
      <c r="C5" s="86" t="s">
        <v>19</v>
      </c>
      <c r="D5" s="96" t="s">
        <v>19</v>
      </c>
      <c r="E5" s="96" t="s">
        <v>19</v>
      </c>
      <c r="F5" s="96"/>
      <c r="G5" s="96"/>
      <c r="H5" s="133"/>
      <c r="I5" s="80"/>
    </row>
    <row r="6" spans="1:9" ht="15" hidden="1" x14ac:dyDescent="0.2">
      <c r="A6" s="17">
        <f t="shared" si="0"/>
        <v>2005</v>
      </c>
      <c r="B6" s="18" t="s">
        <v>11</v>
      </c>
      <c r="C6" s="87" t="s">
        <v>19</v>
      </c>
      <c r="D6" s="97" t="s">
        <v>19</v>
      </c>
      <c r="E6" s="97"/>
      <c r="F6" s="97"/>
      <c r="G6" s="97"/>
      <c r="H6" s="133"/>
      <c r="I6" s="80"/>
    </row>
    <row r="7" spans="1:9" ht="15" hidden="1" x14ac:dyDescent="0.2">
      <c r="A7" s="10">
        <f t="shared" si="0"/>
        <v>2005</v>
      </c>
      <c r="B7" t="s">
        <v>12</v>
      </c>
      <c r="C7" s="85" t="s">
        <v>19</v>
      </c>
      <c r="D7" s="95" t="s">
        <v>19</v>
      </c>
      <c r="E7" s="95"/>
      <c r="F7" s="95"/>
      <c r="G7" s="95"/>
      <c r="H7" s="133"/>
      <c r="I7" s="80"/>
    </row>
    <row r="8" spans="1:9" ht="15" hidden="1" x14ac:dyDescent="0.2">
      <c r="A8" s="12">
        <f t="shared" si="0"/>
        <v>2005</v>
      </c>
      <c r="B8" s="13" t="s">
        <v>13</v>
      </c>
      <c r="C8" s="86" t="s">
        <v>19</v>
      </c>
      <c r="D8" s="96" t="s">
        <v>19</v>
      </c>
      <c r="E8" s="96" t="s">
        <v>19</v>
      </c>
      <c r="F8" s="96" t="s">
        <v>19</v>
      </c>
      <c r="G8" s="96"/>
      <c r="H8" s="133"/>
      <c r="I8" s="80"/>
    </row>
    <row r="9" spans="1:9" ht="15" hidden="1" x14ac:dyDescent="0.2">
      <c r="A9" s="17">
        <f t="shared" si="0"/>
        <v>2005</v>
      </c>
      <c r="B9" s="22" t="s">
        <v>30</v>
      </c>
      <c r="C9" s="19">
        <f>Indeks!H10</f>
        <v>90.292328719285351</v>
      </c>
      <c r="D9" s="97" t="str">
        <f>"-"</f>
        <v>-</v>
      </c>
      <c r="E9" s="97"/>
      <c r="F9" s="97"/>
      <c r="G9" s="97"/>
      <c r="H9" s="133"/>
      <c r="I9" s="80"/>
    </row>
    <row r="10" spans="1:9" ht="15" hidden="1" x14ac:dyDescent="0.2">
      <c r="A10" s="10">
        <f t="shared" si="0"/>
        <v>2005</v>
      </c>
      <c r="B10" t="s">
        <v>14</v>
      </c>
      <c r="C10" s="11">
        <f>Indeks!H11</f>
        <v>90.92752527499178</v>
      </c>
      <c r="D10" s="61">
        <f t="shared" ref="D10:D68" si="1">(C10-C9)/C9</f>
        <v>7.034889505189588E-3</v>
      </c>
      <c r="E10" s="95"/>
      <c r="F10" s="95"/>
      <c r="G10" s="95"/>
      <c r="H10" s="133"/>
      <c r="I10" s="80"/>
    </row>
    <row r="11" spans="1:9" ht="15" hidden="1" x14ac:dyDescent="0.2">
      <c r="A11" s="12">
        <f t="shared" si="0"/>
        <v>2005</v>
      </c>
      <c r="B11" s="13" t="s">
        <v>15</v>
      </c>
      <c r="C11" s="14">
        <f>Indeks!H12</f>
        <v>91.414653079921692</v>
      </c>
      <c r="D11" s="62">
        <f t="shared" si="1"/>
        <v>5.3573195075604808E-3</v>
      </c>
      <c r="E11" s="96" t="s">
        <v>19</v>
      </c>
      <c r="F11" s="96"/>
      <c r="G11" s="96"/>
      <c r="H11" s="133"/>
      <c r="I11" s="80"/>
    </row>
    <row r="12" spans="1:9" ht="15" hidden="1" x14ac:dyDescent="0.2">
      <c r="A12" s="10">
        <f t="shared" si="0"/>
        <v>2005</v>
      </c>
      <c r="B12" t="s">
        <v>16</v>
      </c>
      <c r="C12" s="11">
        <f>Indeks!H13</f>
        <v>91.640641159377168</v>
      </c>
      <c r="D12" s="61">
        <f t="shared" si="1"/>
        <v>2.4721209548090716E-3</v>
      </c>
      <c r="E12" s="95"/>
      <c r="F12" s="95"/>
      <c r="G12" s="95"/>
      <c r="H12" s="133"/>
      <c r="I12" s="80"/>
    </row>
    <row r="13" spans="1:9" ht="15" hidden="1" x14ac:dyDescent="0.2">
      <c r="A13" s="10">
        <f t="shared" si="0"/>
        <v>2005</v>
      </c>
      <c r="B13" t="s">
        <v>17</v>
      </c>
      <c r="C13" s="11">
        <f>Indeks!H14</f>
        <v>92.197079298895403</v>
      </c>
      <c r="D13" s="61">
        <f t="shared" si="1"/>
        <v>6.0719581670156987E-3</v>
      </c>
      <c r="E13" s="95"/>
      <c r="F13" s="95"/>
      <c r="G13" s="95"/>
      <c r="H13" s="133"/>
      <c r="I13" s="80"/>
    </row>
    <row r="14" spans="1:9" ht="15.75" hidden="1" thickBot="1" x14ac:dyDescent="0.25">
      <c r="A14" s="30">
        <f t="shared" si="0"/>
        <v>2005</v>
      </c>
      <c r="B14" s="31" t="s">
        <v>18</v>
      </c>
      <c r="C14" s="32">
        <f>Indeks!H15</f>
        <v>92.986932917933089</v>
      </c>
      <c r="D14" s="64">
        <f t="shared" si="1"/>
        <v>8.5670134568693324E-3</v>
      </c>
      <c r="E14" s="64">
        <f>(SUM(C12:C14)-SUM(C9:C11))/SUM(C9:C11)</f>
        <v>1.5369097430012659E-2</v>
      </c>
      <c r="F14" s="98" t="str">
        <f>"-"</f>
        <v>-</v>
      </c>
      <c r="G14" s="98" t="str">
        <f>"-"</f>
        <v>-</v>
      </c>
      <c r="H14" s="133"/>
      <c r="I14" s="80"/>
    </row>
    <row r="15" spans="1:9" ht="15" hidden="1" x14ac:dyDescent="0.2">
      <c r="A15" s="2">
        <v>2006</v>
      </c>
      <c r="B15" t="s">
        <v>8</v>
      </c>
      <c r="C15" s="11">
        <f>Indeks!H16</f>
        <v>92.668805416705865</v>
      </c>
      <c r="D15" s="61">
        <f t="shared" si="1"/>
        <v>-3.4212065205763012E-3</v>
      </c>
      <c r="E15" s="61"/>
      <c r="F15" s="61"/>
      <c r="G15" s="61"/>
      <c r="H15" s="133"/>
      <c r="I15" s="80"/>
    </row>
    <row r="16" spans="1:9" ht="15" hidden="1" x14ac:dyDescent="0.2">
      <c r="A16" s="10">
        <f>A15</f>
        <v>2006</v>
      </c>
      <c r="B16" t="s">
        <v>9</v>
      </c>
      <c r="C16" s="11">
        <f>Indeks!H17</f>
        <v>92.388858566310347</v>
      </c>
      <c r="D16" s="61">
        <f t="shared" si="1"/>
        <v>-3.0209394535375207E-3</v>
      </c>
      <c r="E16" s="61"/>
      <c r="F16" s="61"/>
      <c r="G16" s="61"/>
      <c r="H16" s="133"/>
      <c r="I16" s="80"/>
    </row>
    <row r="17" spans="1:9" ht="15" hidden="1" x14ac:dyDescent="0.2">
      <c r="A17" s="12">
        <f t="shared" ref="A17:A26" si="2">A16</f>
        <v>2006</v>
      </c>
      <c r="B17" s="13" t="s">
        <v>10</v>
      </c>
      <c r="C17" s="14">
        <f>Indeks!H18</f>
        <v>92.542432970583306</v>
      </c>
      <c r="D17" s="62">
        <f t="shared" si="1"/>
        <v>1.6622610848983903E-3</v>
      </c>
      <c r="E17" s="62">
        <f>(SUM(C15:C17)-SUM(C12:C14))/SUM(C12:C14)</f>
        <v>2.8012085193149811E-3</v>
      </c>
      <c r="F17" s="62"/>
      <c r="G17" s="62"/>
      <c r="H17" s="133"/>
      <c r="I17" s="80"/>
    </row>
    <row r="18" spans="1:9" ht="15" hidden="1" x14ac:dyDescent="0.2">
      <c r="A18" s="17">
        <f t="shared" si="2"/>
        <v>2006</v>
      </c>
      <c r="B18" s="18" t="s">
        <v>11</v>
      </c>
      <c r="C18" s="11">
        <f>Indeks!H19</f>
        <v>93.137418618440705</v>
      </c>
      <c r="D18" s="61">
        <f t="shared" si="1"/>
        <v>6.4293279175675951E-3</v>
      </c>
      <c r="E18" s="61"/>
      <c r="F18" s="61"/>
      <c r="G18" s="63"/>
      <c r="H18" s="133"/>
      <c r="I18" s="80"/>
    </row>
    <row r="19" spans="1:9" ht="15" hidden="1" x14ac:dyDescent="0.2">
      <c r="A19" s="10">
        <f t="shared" si="2"/>
        <v>2006</v>
      </c>
      <c r="B19" t="s">
        <v>12</v>
      </c>
      <c r="C19" s="11">
        <f>Indeks!H20</f>
        <v>93.591958180466236</v>
      </c>
      <c r="D19" s="61">
        <f t="shared" si="1"/>
        <v>4.880310929462825E-3</v>
      </c>
      <c r="E19" s="61"/>
      <c r="F19" s="61"/>
      <c r="G19" s="61"/>
      <c r="H19" s="133"/>
      <c r="I19" s="80"/>
    </row>
    <row r="20" spans="1:9" ht="15" hidden="1" x14ac:dyDescent="0.2">
      <c r="A20" s="12">
        <f t="shared" si="2"/>
        <v>2006</v>
      </c>
      <c r="B20" s="13" t="s">
        <v>13</v>
      </c>
      <c r="C20" s="14">
        <f>Indeks!H21</f>
        <v>93.947510099286887</v>
      </c>
      <c r="D20" s="62">
        <f t="shared" si="1"/>
        <v>3.7989580059332459E-3</v>
      </c>
      <c r="E20" s="62">
        <f>(SUM(C18:C20)-SUM(C15:C17))/SUM(C15:C17)</f>
        <v>1.1083533393392941E-2</v>
      </c>
      <c r="F20" s="62">
        <f>(SUM(C15:C20)-SUM(C9:C14))/SUM(C9:C14)</f>
        <v>1.6048187083023038E-2</v>
      </c>
      <c r="G20" s="62"/>
      <c r="H20" s="133"/>
      <c r="I20" s="80"/>
    </row>
    <row r="21" spans="1:9" ht="15" hidden="1" x14ac:dyDescent="0.2">
      <c r="A21" s="17">
        <f t="shared" si="2"/>
        <v>2006</v>
      </c>
      <c r="B21" s="22" t="s">
        <v>30</v>
      </c>
      <c r="C21" s="11">
        <f>Indeks!H22</f>
        <v>94.469743503759759</v>
      </c>
      <c r="D21" s="61">
        <f t="shared" si="1"/>
        <v>5.5587785553971288E-3</v>
      </c>
      <c r="E21" s="61"/>
      <c r="F21" s="61"/>
      <c r="G21" s="63"/>
      <c r="H21" s="133"/>
      <c r="I21" s="80"/>
    </row>
    <row r="22" spans="1:9" ht="15" hidden="1" x14ac:dyDescent="0.2">
      <c r="A22" s="10">
        <f t="shared" si="2"/>
        <v>2006</v>
      </c>
      <c r="B22" t="s">
        <v>14</v>
      </c>
      <c r="C22" s="11">
        <f>Indeks!H23</f>
        <v>94.554737143960054</v>
      </c>
      <c r="D22" s="61">
        <f t="shared" si="1"/>
        <v>8.9969165838703368E-4</v>
      </c>
      <c r="E22" s="61"/>
      <c r="F22" s="61"/>
      <c r="G22" s="61"/>
      <c r="H22" s="133"/>
      <c r="I22" s="80"/>
    </row>
    <row r="23" spans="1:9" ht="15" hidden="1" x14ac:dyDescent="0.2">
      <c r="A23" s="12">
        <f t="shared" si="2"/>
        <v>2006</v>
      </c>
      <c r="B23" s="13" t="s">
        <v>15</v>
      </c>
      <c r="C23" s="14">
        <f>Indeks!H24</f>
        <v>94.606014083732617</v>
      </c>
      <c r="D23" s="62">
        <f t="shared" si="1"/>
        <v>5.4229900395676666E-4</v>
      </c>
      <c r="E23" s="62">
        <f>(SUM(C21:C23)-SUM(C18:C20))/SUM(C18:C20)</f>
        <v>1.0523160157216429E-2</v>
      </c>
      <c r="F23" s="62"/>
      <c r="G23" s="62"/>
      <c r="H23" s="133"/>
      <c r="I23" s="80"/>
    </row>
    <row r="24" spans="1:9" ht="15" hidden="1" x14ac:dyDescent="0.2">
      <c r="A24" s="17">
        <f t="shared" si="2"/>
        <v>2006</v>
      </c>
      <c r="B24" s="18" t="s">
        <v>16</v>
      </c>
      <c r="C24" s="19">
        <f>Indeks!H25</f>
        <v>95.347584194028585</v>
      </c>
      <c r="D24" s="63">
        <f t="shared" si="1"/>
        <v>7.8385091844121926E-3</v>
      </c>
      <c r="E24" s="63"/>
      <c r="F24" s="63"/>
      <c r="G24" s="63"/>
      <c r="H24" s="133"/>
      <c r="I24" s="80"/>
    </row>
    <row r="25" spans="1:9" ht="15" hidden="1" x14ac:dyDescent="0.2">
      <c r="A25" s="10">
        <f t="shared" si="2"/>
        <v>2006</v>
      </c>
      <c r="B25" t="s">
        <v>17</v>
      </c>
      <c r="C25" s="11">
        <f>Indeks!H26</f>
        <v>94.670874120393549</v>
      </c>
      <c r="D25" s="61">
        <f t="shared" si="1"/>
        <v>-7.0972964795621603E-3</v>
      </c>
      <c r="E25" s="61"/>
      <c r="F25" s="61"/>
      <c r="G25" s="61"/>
      <c r="H25" s="133"/>
      <c r="I25" s="80"/>
    </row>
    <row r="26" spans="1:9" ht="15.75" hidden="1" thickBot="1" x14ac:dyDescent="0.25">
      <c r="A26" s="30">
        <f t="shared" si="2"/>
        <v>2006</v>
      </c>
      <c r="B26" s="31" t="s">
        <v>18</v>
      </c>
      <c r="C26" s="32">
        <f>Indeks!H27</f>
        <v>94.388387509788657</v>
      </c>
      <c r="D26" s="64">
        <f t="shared" si="1"/>
        <v>-2.9838808739174791E-3</v>
      </c>
      <c r="E26" s="64">
        <f>(SUM(C24:C26)-SUM(C21:C23))/SUM(C21:C23)</f>
        <v>2.7371918999520291E-3</v>
      </c>
      <c r="F26" s="64">
        <f>(SUM(C21:C26)-SUM(C15:C20))/SUM(C15:C20)</f>
        <v>1.7483000349627499E-2</v>
      </c>
      <c r="G26" s="98" t="str">
        <f>"-"</f>
        <v>-</v>
      </c>
      <c r="H26" s="133"/>
      <c r="I26" s="80"/>
    </row>
    <row r="27" spans="1:9" ht="15" hidden="1" x14ac:dyDescent="0.2">
      <c r="A27" s="2">
        <v>2007</v>
      </c>
      <c r="B27" t="s">
        <v>8</v>
      </c>
      <c r="C27" s="11">
        <f>Indeks!H28</f>
        <v>94.648420509917301</v>
      </c>
      <c r="D27" s="61">
        <f t="shared" si="1"/>
        <v>2.7549257592908525E-3</v>
      </c>
      <c r="E27" s="61"/>
      <c r="F27" s="61"/>
      <c r="G27" s="61"/>
      <c r="H27" s="133"/>
      <c r="I27" s="80"/>
    </row>
    <row r="28" spans="1:9" ht="15" hidden="1" x14ac:dyDescent="0.2">
      <c r="A28" s="10">
        <f>A27</f>
        <v>2007</v>
      </c>
      <c r="B28" t="s">
        <v>9</v>
      </c>
      <c r="C28" s="11">
        <f>Indeks!H29</f>
        <v>94.690506249993803</v>
      </c>
      <c r="D28" s="61">
        <f t="shared" si="1"/>
        <v>4.4465337984263357E-4</v>
      </c>
      <c r="E28" s="61"/>
      <c r="F28" s="61"/>
      <c r="G28" s="61"/>
      <c r="H28" s="133"/>
      <c r="I28" s="80"/>
    </row>
    <row r="29" spans="1:9" ht="15" hidden="1" x14ac:dyDescent="0.2">
      <c r="A29" s="12">
        <f t="shared" ref="A29:A38" si="3">A28</f>
        <v>2007</v>
      </c>
      <c r="B29" s="13" t="s">
        <v>10</v>
      </c>
      <c r="C29" s="14">
        <f>Indeks!H30</f>
        <v>94.256195507008883</v>
      </c>
      <c r="D29" s="62">
        <f t="shared" si="1"/>
        <v>-4.5866345020723577E-3</v>
      </c>
      <c r="E29" s="62">
        <f>(SUM(C27:C29)-SUM(C24:C26))/SUM(C24:C26)</f>
        <v>-2.8540928926602672E-3</v>
      </c>
      <c r="F29" s="62"/>
      <c r="G29" s="62"/>
      <c r="H29" s="133"/>
      <c r="I29" s="80"/>
    </row>
    <row r="30" spans="1:9" ht="15" hidden="1" x14ac:dyDescent="0.2">
      <c r="A30" s="17">
        <f t="shared" si="3"/>
        <v>2007</v>
      </c>
      <c r="B30" s="18" t="s">
        <v>11</v>
      </c>
      <c r="C30" s="19">
        <f>Indeks!H31</f>
        <v>95.288944097184881</v>
      </c>
      <c r="D30" s="63">
        <f t="shared" si="1"/>
        <v>1.095682447844188E-2</v>
      </c>
      <c r="E30" s="61"/>
      <c r="F30" s="61"/>
      <c r="G30" s="63"/>
      <c r="H30" s="133"/>
      <c r="I30" s="80"/>
    </row>
    <row r="31" spans="1:9" ht="15" hidden="1" x14ac:dyDescent="0.2">
      <c r="A31" s="10">
        <f t="shared" si="3"/>
        <v>2007</v>
      </c>
      <c r="B31" t="s">
        <v>12</v>
      </c>
      <c r="C31" s="11">
        <f>Indeks!H32</f>
        <v>95.46513183110342</v>
      </c>
      <c r="D31" s="61">
        <f t="shared" si="1"/>
        <v>1.848984009507395E-3</v>
      </c>
      <c r="E31" s="61"/>
      <c r="F31" s="61"/>
      <c r="G31" s="61"/>
      <c r="H31" s="133"/>
      <c r="I31" s="80"/>
    </row>
    <row r="32" spans="1:9" ht="15" hidden="1" x14ac:dyDescent="0.2">
      <c r="A32" s="12">
        <f t="shared" si="3"/>
        <v>2007</v>
      </c>
      <c r="B32" s="13" t="s">
        <v>13</v>
      </c>
      <c r="C32" s="14">
        <f>Indeks!H33</f>
        <v>95.825002310907621</v>
      </c>
      <c r="D32" s="62">
        <f t="shared" si="1"/>
        <v>3.7696536201393648E-3</v>
      </c>
      <c r="E32" s="62">
        <f>(SUM(C30:C32)-SUM(C27:C29))/SUM(C27:C29)</f>
        <v>1.0521887500827545E-2</v>
      </c>
      <c r="F32" s="62">
        <f>(SUM(C27:C32)-SUM(C21:C26))/SUM(C21:C26)</f>
        <v>3.7618300732876232E-3</v>
      </c>
      <c r="G32" s="62"/>
      <c r="H32" s="133"/>
      <c r="I32" s="80"/>
    </row>
    <row r="33" spans="1:9" ht="15" hidden="1" x14ac:dyDescent="0.2">
      <c r="A33" s="17">
        <f t="shared" si="3"/>
        <v>2007</v>
      </c>
      <c r="B33" s="22" t="s">
        <v>30</v>
      </c>
      <c r="C33" s="19">
        <f>Indeks!H34</f>
        <v>96.5635045311178</v>
      </c>
      <c r="D33" s="63">
        <f t="shared" si="1"/>
        <v>7.7067800928830952E-3</v>
      </c>
      <c r="E33" s="63"/>
      <c r="F33" s="63"/>
      <c r="G33" s="63"/>
      <c r="H33" s="133"/>
      <c r="I33" s="80"/>
    </row>
    <row r="34" spans="1:9" ht="15" hidden="1" x14ac:dyDescent="0.2">
      <c r="A34" s="10">
        <f t="shared" si="3"/>
        <v>2007</v>
      </c>
      <c r="B34" t="s">
        <v>14</v>
      </c>
      <c r="C34" s="11">
        <f>Indeks!H35</f>
        <v>97.06601208645553</v>
      </c>
      <c r="D34" s="61">
        <f t="shared" si="1"/>
        <v>5.2039076023363984E-3</v>
      </c>
      <c r="E34" s="61"/>
      <c r="F34" s="61"/>
      <c r="G34" s="61"/>
      <c r="H34" s="133"/>
      <c r="I34" s="80"/>
    </row>
    <row r="35" spans="1:9" ht="15" hidden="1" x14ac:dyDescent="0.2">
      <c r="A35" s="12">
        <f t="shared" si="3"/>
        <v>2007</v>
      </c>
      <c r="B35" s="13" t="s">
        <v>15</v>
      </c>
      <c r="C35" s="14">
        <f>Indeks!H36</f>
        <v>97.048451031158621</v>
      </c>
      <c r="D35" s="62">
        <f t="shared" si="1"/>
        <v>-1.8091868533001612E-4</v>
      </c>
      <c r="E35" s="62">
        <f>(SUM(C33:C35)-SUM(C30:C32))/SUM(C30:C32)</f>
        <v>1.4302821527379038E-2</v>
      </c>
      <c r="F35" s="62"/>
      <c r="G35" s="62"/>
      <c r="H35" s="133"/>
      <c r="I35" s="80"/>
    </row>
    <row r="36" spans="1:9" ht="15" hidden="1" x14ac:dyDescent="0.2">
      <c r="A36" s="17">
        <f t="shared" si="3"/>
        <v>2007</v>
      </c>
      <c r="B36" s="18" t="s">
        <v>16</v>
      </c>
      <c r="C36" s="19">
        <f>Indeks!H37</f>
        <v>97.596384573721011</v>
      </c>
      <c r="D36" s="63">
        <f t="shared" si="1"/>
        <v>5.6459792685044424E-3</v>
      </c>
      <c r="E36" s="63"/>
      <c r="F36" s="63"/>
      <c r="G36" s="63"/>
      <c r="H36" s="133"/>
      <c r="I36" s="80"/>
    </row>
    <row r="37" spans="1:9" ht="15" hidden="1" x14ac:dyDescent="0.2">
      <c r="A37" s="10">
        <f t="shared" si="3"/>
        <v>2007</v>
      </c>
      <c r="B37" t="s">
        <v>17</v>
      </c>
      <c r="C37" s="11">
        <f>Indeks!H38</f>
        <v>97.984528819412418</v>
      </c>
      <c r="D37" s="61">
        <f t="shared" si="1"/>
        <v>3.9770350857435324E-3</v>
      </c>
      <c r="E37" s="61"/>
      <c r="F37" s="61"/>
      <c r="G37" s="61"/>
      <c r="H37" s="133"/>
      <c r="I37" s="80"/>
    </row>
    <row r="38" spans="1:9" ht="15.75" hidden="1" thickBot="1" x14ac:dyDescent="0.25">
      <c r="A38" s="30">
        <f t="shared" si="3"/>
        <v>2007</v>
      </c>
      <c r="B38" s="31" t="s">
        <v>18</v>
      </c>
      <c r="C38" s="32">
        <f>Indeks!H39</f>
        <v>98.086972839842176</v>
      </c>
      <c r="D38" s="64">
        <f t="shared" si="1"/>
        <v>1.0455122014064503E-3</v>
      </c>
      <c r="E38" s="64">
        <f>(SUM(C36:C38)-SUM(C33:C35))/SUM(C33:C35)</f>
        <v>1.0286017232158402E-2</v>
      </c>
      <c r="F38" s="64">
        <f>(SUM(C33:C38)-SUM(C27:C32))/SUM(C27:C32)</f>
        <v>2.4854953736966955E-2</v>
      </c>
      <c r="G38" s="64">
        <f>(SUM(C27:C38)-SUM(C15:C26))/SUM(C15:C26)</f>
        <v>2.5042503117596294E-2</v>
      </c>
      <c r="H38" s="133"/>
      <c r="I38" s="80"/>
    </row>
    <row r="39" spans="1:9" ht="15.75" hidden="1" x14ac:dyDescent="0.25">
      <c r="A39" s="2">
        <v>2008</v>
      </c>
      <c r="B39" s="2" t="s">
        <v>8</v>
      </c>
      <c r="C39" s="7">
        <f>Indeks!H40</f>
        <v>100</v>
      </c>
      <c r="D39" s="50">
        <f t="shared" si="1"/>
        <v>1.9503376490998887E-2</v>
      </c>
      <c r="E39" s="65"/>
      <c r="F39" s="65"/>
      <c r="G39" s="65"/>
      <c r="H39" s="133"/>
      <c r="I39" s="81"/>
    </row>
    <row r="40" spans="1:9" ht="15" hidden="1" x14ac:dyDescent="0.2">
      <c r="A40" s="10">
        <f>A39</f>
        <v>2008</v>
      </c>
      <c r="B40" t="s">
        <v>9</v>
      </c>
      <c r="C40" s="11">
        <f>Indeks!H41</f>
        <v>99.383446750672732</v>
      </c>
      <c r="D40" s="61">
        <f t="shared" si="1"/>
        <v>-6.1655324932726784E-3</v>
      </c>
      <c r="E40" s="61"/>
      <c r="F40" s="61"/>
      <c r="G40" s="61"/>
      <c r="H40" s="133"/>
      <c r="I40" s="47"/>
    </row>
    <row r="41" spans="1:9" ht="15" hidden="1" x14ac:dyDescent="0.2">
      <c r="A41" s="12">
        <f t="shared" ref="A41:A50" si="4">A40</f>
        <v>2008</v>
      </c>
      <c r="B41" s="15" t="s">
        <v>10</v>
      </c>
      <c r="C41" s="14">
        <f>Indeks!H42</f>
        <v>99.524257885272576</v>
      </c>
      <c r="D41" s="62">
        <f t="shared" si="1"/>
        <v>1.4168469619805207E-3</v>
      </c>
      <c r="E41" s="62">
        <f>(SUM(C39:C41)-SUM(C36:C38))/SUM(C36:C38)</f>
        <v>1.7842667341613279E-2</v>
      </c>
      <c r="F41" s="62"/>
      <c r="G41" s="15"/>
      <c r="H41" s="133"/>
      <c r="I41" s="47"/>
    </row>
    <row r="42" spans="1:9" ht="15" hidden="1" x14ac:dyDescent="0.2">
      <c r="A42" s="17">
        <f t="shared" si="4"/>
        <v>2008</v>
      </c>
      <c r="B42" s="18" t="s">
        <v>11</v>
      </c>
      <c r="C42" s="19">
        <f>Indeks!H43</f>
        <v>100.34467210919578</v>
      </c>
      <c r="D42" s="63">
        <f t="shared" si="1"/>
        <v>8.2433593714303071E-3</v>
      </c>
      <c r="E42" s="63"/>
      <c r="F42" s="63"/>
      <c r="G42" s="63"/>
      <c r="H42" s="133"/>
      <c r="I42" s="47"/>
    </row>
    <row r="43" spans="1:9" ht="15" hidden="1" x14ac:dyDescent="0.2">
      <c r="A43" s="10">
        <f t="shared" si="4"/>
        <v>2008</v>
      </c>
      <c r="B43" t="s">
        <v>12</v>
      </c>
      <c r="C43" s="11">
        <f>Indeks!H44</f>
        <v>101.60504538372001</v>
      </c>
      <c r="D43" s="61">
        <f t="shared" si="1"/>
        <v>1.2560440410355617E-2</v>
      </c>
      <c r="E43" s="61"/>
      <c r="F43" s="61"/>
      <c r="G43" s="61"/>
      <c r="H43" s="133"/>
      <c r="I43" s="47"/>
    </row>
    <row r="44" spans="1:9" ht="15" hidden="1" x14ac:dyDescent="0.2">
      <c r="A44" s="12">
        <f t="shared" si="4"/>
        <v>2008</v>
      </c>
      <c r="B44" s="13" t="s">
        <v>13</v>
      </c>
      <c r="C44" s="14">
        <f>Indeks!H45</f>
        <v>102.05760964772745</v>
      </c>
      <c r="D44" s="62">
        <f t="shared" si="1"/>
        <v>4.4541514872444392E-3</v>
      </c>
      <c r="E44" s="62">
        <f>(SUM(C42:C44)-SUM(C39:C41))/SUM(C39:C41)</f>
        <v>1.7060860009978779E-2</v>
      </c>
      <c r="F44" s="62">
        <f>(SUM(C39:C44)-SUM(C33:C38))/SUM(C33:C38)</f>
        <v>3.1777718232326307E-2</v>
      </c>
      <c r="G44" s="62"/>
      <c r="H44" s="133"/>
      <c r="I44" s="47"/>
    </row>
    <row r="45" spans="1:9" ht="15" hidden="1" x14ac:dyDescent="0.2">
      <c r="A45" s="17">
        <f t="shared" si="4"/>
        <v>2008</v>
      </c>
      <c r="B45" s="22" t="s">
        <v>30</v>
      </c>
      <c r="C45" s="24">
        <f>Indeks!H46</f>
        <v>103.85741111629646</v>
      </c>
      <c r="D45" s="63">
        <f t="shared" si="1"/>
        <v>1.7635152094796217E-2</v>
      </c>
      <c r="E45" s="63"/>
      <c r="F45" s="63"/>
      <c r="G45" s="63"/>
      <c r="H45" s="133"/>
      <c r="I45" s="47"/>
    </row>
    <row r="46" spans="1:9" ht="15" hidden="1" x14ac:dyDescent="0.2">
      <c r="A46" s="10">
        <f t="shared" si="4"/>
        <v>2008</v>
      </c>
      <c r="B46" t="s">
        <v>14</v>
      </c>
      <c r="C46" s="11">
        <f>Indeks!H47</f>
        <v>105.15926978784404</v>
      </c>
      <c r="D46" s="61">
        <f t="shared" si="1"/>
        <v>1.2535057994944577E-2</v>
      </c>
      <c r="E46" s="61"/>
      <c r="F46" s="61"/>
      <c r="G46" s="61"/>
      <c r="H46" s="133"/>
      <c r="I46" s="47"/>
    </row>
    <row r="47" spans="1:9" ht="15" hidden="1" x14ac:dyDescent="0.2">
      <c r="A47" s="12">
        <f t="shared" si="4"/>
        <v>2008</v>
      </c>
      <c r="B47" s="13" t="s">
        <v>15</v>
      </c>
      <c r="C47" s="14">
        <f>Indeks!H48</f>
        <v>105.10102927747189</v>
      </c>
      <c r="D47" s="62">
        <f t="shared" si="1"/>
        <v>-5.5383144528906307E-4</v>
      </c>
      <c r="E47" s="62">
        <f>(SUM(C45:C47)-SUM(C42:C44))/SUM(C42:C44)</f>
        <v>3.3257037374930735E-2</v>
      </c>
      <c r="F47" s="62"/>
      <c r="G47" s="62"/>
      <c r="H47" s="133"/>
      <c r="I47" s="47"/>
    </row>
    <row r="48" spans="1:9" ht="15" hidden="1" x14ac:dyDescent="0.2">
      <c r="A48" s="17">
        <f t="shared" si="4"/>
        <v>2008</v>
      </c>
      <c r="B48" s="18" t="s">
        <v>16</v>
      </c>
      <c r="C48" s="19">
        <f>Indeks!H49</f>
        <v>104.1004022871024</v>
      </c>
      <c r="D48" s="63">
        <f t="shared" si="1"/>
        <v>-9.5206202760183493E-3</v>
      </c>
      <c r="E48" s="63"/>
      <c r="F48" s="63"/>
      <c r="G48" s="63"/>
      <c r="H48" s="133"/>
      <c r="I48" s="47"/>
    </row>
    <row r="49" spans="1:9" ht="15" hidden="1" x14ac:dyDescent="0.2">
      <c r="A49" s="10">
        <f t="shared" si="4"/>
        <v>2008</v>
      </c>
      <c r="B49" t="s">
        <v>17</v>
      </c>
      <c r="C49" s="11">
        <f>Indeks!H50</f>
        <v>104.06496664481814</v>
      </c>
      <c r="D49" s="61">
        <f t="shared" si="1"/>
        <v>-3.4039870649612267E-4</v>
      </c>
      <c r="E49" s="61"/>
      <c r="F49" s="61"/>
      <c r="G49" s="61"/>
      <c r="H49" s="133"/>
      <c r="I49" s="47"/>
    </row>
    <row r="50" spans="1:9" ht="15.75" hidden="1" thickBot="1" x14ac:dyDescent="0.25">
      <c r="A50" s="30">
        <f t="shared" si="4"/>
        <v>2008</v>
      </c>
      <c r="B50" s="31" t="s">
        <v>18</v>
      </c>
      <c r="C50" s="32">
        <f>Indeks!H51</f>
        <v>103.31750424738101</v>
      </c>
      <c r="D50" s="64">
        <f t="shared" si="1"/>
        <v>-7.1826515832968084E-3</v>
      </c>
      <c r="E50" s="64">
        <f>(SUM(C48:C50)-SUM(C45:C47))/SUM(C45:C47)</f>
        <v>-8.3880561869226818E-3</v>
      </c>
      <c r="F50" s="64">
        <f>(SUM(C45:C50)-SUM(C39:C44))/SUM(C39:C44)</f>
        <v>3.7626448817304758E-2</v>
      </c>
      <c r="G50" s="64">
        <f>(SUM(C39:C50)-SUM(C27:C38))/SUM(C27:C38)</f>
        <v>6.4092053202934346E-2</v>
      </c>
      <c r="H50" s="133"/>
      <c r="I50" s="47"/>
    </row>
    <row r="51" spans="1:9" ht="15" hidden="1" x14ac:dyDescent="0.2">
      <c r="A51" s="2">
        <v>2009</v>
      </c>
      <c r="B51" t="s">
        <v>8</v>
      </c>
      <c r="C51" s="11">
        <f>Indeks!H52</f>
        <v>102.44626518020767</v>
      </c>
      <c r="D51" s="50">
        <f t="shared" si="1"/>
        <v>-8.4326375624333722E-3</v>
      </c>
      <c r="E51" s="61"/>
      <c r="F51" s="61"/>
      <c r="G51" s="61"/>
      <c r="H51" s="133"/>
      <c r="I51" s="47"/>
    </row>
    <row r="52" spans="1:9" ht="15" hidden="1" x14ac:dyDescent="0.2">
      <c r="A52" s="10">
        <f>A51</f>
        <v>2009</v>
      </c>
      <c r="B52" t="s">
        <v>9</v>
      </c>
      <c r="C52" s="11">
        <f>Indeks!H53</f>
        <v>100.44236907631158</v>
      </c>
      <c r="D52" s="61">
        <f t="shared" si="1"/>
        <v>-1.9560460309325588E-2</v>
      </c>
      <c r="E52" s="61"/>
      <c r="F52" s="61"/>
      <c r="G52" s="61"/>
      <c r="H52" s="133"/>
      <c r="I52" s="47"/>
    </row>
    <row r="53" spans="1:9" ht="15" hidden="1" x14ac:dyDescent="0.2">
      <c r="A53" s="12">
        <f t="shared" ref="A53:A62" si="5">A52</f>
        <v>2009</v>
      </c>
      <c r="B53" s="13" t="s">
        <v>10</v>
      </c>
      <c r="C53" s="14">
        <f>Indeks!H54</f>
        <v>100.03882454261429</v>
      </c>
      <c r="D53" s="62">
        <f t="shared" si="1"/>
        <v>-4.0176723967023384E-3</v>
      </c>
      <c r="E53" s="62">
        <f>(SUM(C51:C53)-SUM(C48:C50))/SUM(C48:C50)</f>
        <v>-2.7466724872680894E-2</v>
      </c>
      <c r="F53" s="62"/>
      <c r="G53" s="62"/>
      <c r="H53" s="133"/>
      <c r="I53" s="47"/>
    </row>
    <row r="54" spans="1:9" ht="15" hidden="1" x14ac:dyDescent="0.2">
      <c r="A54" s="17">
        <f t="shared" si="5"/>
        <v>2009</v>
      </c>
      <c r="B54" s="18" t="s">
        <v>11</v>
      </c>
      <c r="C54" s="19">
        <f>Indeks!H55</f>
        <v>100.45099393243727</v>
      </c>
      <c r="D54" s="63">
        <f t="shared" si="1"/>
        <v>4.1200942904662278E-3</v>
      </c>
      <c r="E54" s="63"/>
      <c r="F54" s="63"/>
      <c r="G54" s="63"/>
      <c r="H54" s="133"/>
      <c r="I54" s="47"/>
    </row>
    <row r="55" spans="1:9" ht="15" hidden="1" x14ac:dyDescent="0.2">
      <c r="A55" s="10">
        <f t="shared" si="5"/>
        <v>2009</v>
      </c>
      <c r="B55" t="s">
        <v>12</v>
      </c>
      <c r="C55" s="11">
        <f>Indeks!H56</f>
        <v>99.941426133001983</v>
      </c>
      <c r="D55" s="61">
        <f t="shared" si="1"/>
        <v>-5.0727999742642719E-3</v>
      </c>
      <c r="E55" s="61"/>
      <c r="F55" s="61"/>
      <c r="G55" s="61"/>
      <c r="H55" s="133"/>
      <c r="I55" s="47"/>
    </row>
    <row r="56" spans="1:9" ht="15" hidden="1" x14ac:dyDescent="0.2">
      <c r="A56" s="12">
        <f t="shared" si="5"/>
        <v>2009</v>
      </c>
      <c r="B56" s="13" t="s">
        <v>13</v>
      </c>
      <c r="C56" s="14">
        <f>Indeks!H57</f>
        <v>100.23724543427278</v>
      </c>
      <c r="D56" s="62">
        <f t="shared" si="1"/>
        <v>2.959926756269422E-3</v>
      </c>
      <c r="E56" s="62">
        <f>(SUM(C54:C56)-SUM(C51:C53))/SUM(C51:C53)</f>
        <v>-7.5852922297980213E-3</v>
      </c>
      <c r="F56" s="62">
        <f>(SUM(C51:C56)-SUM(C45:C50))/SUM(C45:C50)</f>
        <v>-3.5235675362775998E-2</v>
      </c>
      <c r="G56" s="62"/>
      <c r="H56" s="133"/>
      <c r="I56" s="47"/>
    </row>
    <row r="57" spans="1:9" ht="15" hidden="1" x14ac:dyDescent="0.2">
      <c r="A57" s="17">
        <f t="shared" si="5"/>
        <v>2009</v>
      </c>
      <c r="B57" s="22" t="s">
        <v>30</v>
      </c>
      <c r="C57" s="19">
        <f>Indeks!H58</f>
        <v>100.91462050192989</v>
      </c>
      <c r="D57" s="63">
        <f t="shared" si="1"/>
        <v>6.7577182984470156E-3</v>
      </c>
      <c r="E57" s="63"/>
      <c r="F57" s="63"/>
      <c r="G57" s="63"/>
      <c r="H57" s="133"/>
      <c r="I57" s="47"/>
    </row>
    <row r="58" spans="1:9" ht="15" hidden="1" x14ac:dyDescent="0.2">
      <c r="A58" s="10">
        <f t="shared" si="5"/>
        <v>2009</v>
      </c>
      <c r="B58" t="s">
        <v>14</v>
      </c>
      <c r="C58" s="11">
        <f>Indeks!H59</f>
        <v>101.14278843378494</v>
      </c>
      <c r="D58" s="61">
        <f t="shared" si="1"/>
        <v>2.2609997512767835E-3</v>
      </c>
      <c r="E58" s="61"/>
      <c r="F58" s="61"/>
      <c r="G58" s="61"/>
      <c r="H58" s="133"/>
      <c r="I58" s="47"/>
    </row>
    <row r="59" spans="1:9" ht="15" hidden="1" x14ac:dyDescent="0.2">
      <c r="A59" s="12">
        <f t="shared" si="5"/>
        <v>2009</v>
      </c>
      <c r="B59" s="13" t="s">
        <v>15</v>
      </c>
      <c r="C59" s="14">
        <f>Indeks!H60</f>
        <v>100.47195565458402</v>
      </c>
      <c r="D59" s="62">
        <f t="shared" si="1"/>
        <v>-6.6325319836331676E-3</v>
      </c>
      <c r="E59" s="62">
        <f>(SUM(C57:C59)-SUM(C54:C56))/SUM(C54:C56)</f>
        <v>6.3190673063787421E-3</v>
      </c>
      <c r="F59" s="62"/>
      <c r="G59" s="62"/>
      <c r="H59" s="133"/>
      <c r="I59" s="55"/>
    </row>
    <row r="60" spans="1:9" ht="15" hidden="1" x14ac:dyDescent="0.2">
      <c r="A60" s="17">
        <f t="shared" si="5"/>
        <v>2009</v>
      </c>
      <c r="B60" s="18" t="s">
        <v>16</v>
      </c>
      <c r="C60" s="19">
        <f>Indeks!H61</f>
        <v>101.22472416038572</v>
      </c>
      <c r="D60" s="63">
        <f t="shared" si="1"/>
        <v>7.4923246083679878E-3</v>
      </c>
      <c r="E60" s="63"/>
      <c r="F60" s="63"/>
      <c r="G60" s="63"/>
      <c r="H60" s="133"/>
      <c r="I60" s="55"/>
    </row>
    <row r="61" spans="1:9" ht="15" hidden="1" x14ac:dyDescent="0.2">
      <c r="A61" s="10">
        <f t="shared" si="5"/>
        <v>2009</v>
      </c>
      <c r="B61" t="s">
        <v>17</v>
      </c>
      <c r="C61" s="11">
        <f>Indeks!H62</f>
        <v>100.63721473803184</v>
      </c>
      <c r="D61" s="61">
        <f t="shared" si="1"/>
        <v>-5.8040110973579416E-3</v>
      </c>
      <c r="E61" s="61"/>
      <c r="F61" s="61"/>
      <c r="G61" s="61"/>
      <c r="H61" s="133"/>
      <c r="I61" s="55"/>
    </row>
    <row r="62" spans="1:9" ht="15.75" hidden="1" thickBot="1" x14ac:dyDescent="0.25">
      <c r="A62" s="30">
        <f t="shared" si="5"/>
        <v>2009</v>
      </c>
      <c r="B62" s="31" t="s">
        <v>18</v>
      </c>
      <c r="C62" s="32">
        <f>Indeks!H63</f>
        <v>101.17875591000654</v>
      </c>
      <c r="D62" s="64">
        <f t="shared" si="1"/>
        <v>5.3811224146493178E-3</v>
      </c>
      <c r="E62" s="102">
        <f>(SUM(C60:C62)-SUM(C57:C59))/SUM(C57:C59)</f>
        <v>1.6901837572619275E-3</v>
      </c>
      <c r="F62" s="102">
        <f>(SUM(C57:C62)-SUM(C51:C56))/SUM(C51:C56)</f>
        <v>3.3351194424484929E-3</v>
      </c>
      <c r="G62" s="64">
        <f>(SUM(C51:C62)-SUM(C39:C50))/SUM(C39:C50)</f>
        <v>-1.5781998373512084E-2</v>
      </c>
      <c r="H62" s="133"/>
      <c r="I62" s="55"/>
    </row>
    <row r="63" spans="1:9" ht="15" hidden="1" x14ac:dyDescent="0.2">
      <c r="A63" s="48">
        <v>2010</v>
      </c>
      <c r="B63" s="49" t="s">
        <v>8</v>
      </c>
      <c r="C63" s="11">
        <f>Indeks!H64</f>
        <v>101.71793762201607</v>
      </c>
      <c r="D63" s="61">
        <f t="shared" si="1"/>
        <v>5.3290012034650615E-3</v>
      </c>
      <c r="E63" s="108"/>
      <c r="F63" s="108"/>
      <c r="G63" s="108"/>
      <c r="H63" s="57"/>
      <c r="I63" s="47"/>
    </row>
    <row r="64" spans="1:9" ht="15" hidden="1" x14ac:dyDescent="0.2">
      <c r="A64" s="10">
        <f>A63</f>
        <v>2010</v>
      </c>
      <c r="B64" t="s">
        <v>9</v>
      </c>
      <c r="C64" s="11">
        <f>Indeks!H65</f>
        <v>101.34486093673642</v>
      </c>
      <c r="D64" s="61">
        <f t="shared" si="1"/>
        <v>-3.6677570741356883E-3</v>
      </c>
      <c r="E64" s="108"/>
      <c r="F64" s="108"/>
      <c r="G64" s="108"/>
      <c r="H64" s="57"/>
      <c r="I64" s="47"/>
    </row>
    <row r="65" spans="1:9" ht="15" hidden="1" x14ac:dyDescent="0.2">
      <c r="A65" s="12">
        <f t="shared" ref="A65:A74" si="6">A64</f>
        <v>2010</v>
      </c>
      <c r="B65" s="13" t="s">
        <v>10</v>
      </c>
      <c r="C65" s="14">
        <f>Indeks!H66</f>
        <v>102.04076296881883</v>
      </c>
      <c r="D65" s="62">
        <f t="shared" si="1"/>
        <v>6.8666731164277904E-3</v>
      </c>
      <c r="E65" s="66">
        <f>(SUM(C63:C65)-SUM(C60:C62))/SUM(C60:C62)</f>
        <v>6.807226733859183E-3</v>
      </c>
      <c r="F65" s="66"/>
      <c r="G65" s="66"/>
      <c r="H65" s="103"/>
      <c r="I65" s="47"/>
    </row>
    <row r="66" spans="1:9" ht="15" hidden="1" x14ac:dyDescent="0.2">
      <c r="A66" s="17">
        <f t="shared" si="6"/>
        <v>2010</v>
      </c>
      <c r="B66" s="18" t="s">
        <v>11</v>
      </c>
      <c r="C66" s="19">
        <f>Indeks!H67</f>
        <v>101.97301151351795</v>
      </c>
      <c r="D66" s="63">
        <f t="shared" si="1"/>
        <v>-6.639646091394114E-4</v>
      </c>
      <c r="E66" s="111"/>
      <c r="F66" s="111"/>
      <c r="G66" s="111"/>
      <c r="H66" s="24"/>
      <c r="I66" s="47"/>
    </row>
    <row r="67" spans="1:9" ht="15" hidden="1" x14ac:dyDescent="0.2">
      <c r="A67" s="10">
        <f t="shared" si="6"/>
        <v>2010</v>
      </c>
      <c r="B67" t="s">
        <v>12</v>
      </c>
      <c r="C67" s="11">
        <f>Indeks!H68</f>
        <v>102.59018325031738</v>
      </c>
      <c r="D67" s="61">
        <f t="shared" si="1"/>
        <v>6.0523046994411852E-3</v>
      </c>
      <c r="E67" s="108"/>
      <c r="F67" s="108"/>
      <c r="G67" s="108"/>
      <c r="H67" s="57"/>
      <c r="I67" s="47"/>
    </row>
    <row r="68" spans="1:9" ht="15" hidden="1" x14ac:dyDescent="0.2">
      <c r="A68" s="12">
        <f t="shared" si="6"/>
        <v>2010</v>
      </c>
      <c r="B68" s="13" t="s">
        <v>13</v>
      </c>
      <c r="C68" s="14">
        <f>Indeks!H69</f>
        <v>103.02122460369421</v>
      </c>
      <c r="D68" s="62">
        <f t="shared" si="1"/>
        <v>4.2015847883329852E-3</v>
      </c>
      <c r="E68" s="66">
        <f>(SUM(C66:C68)-SUM(C63:C65))/SUM(C63:C65)</f>
        <v>8.1311992149068636E-3</v>
      </c>
      <c r="F68" s="66">
        <f>(SUM(C63:C68)-SUM(C57:C62))/SUM(C57:C62)</f>
        <v>1.1754084248229452E-2</v>
      </c>
      <c r="G68" s="66"/>
      <c r="H68" s="103"/>
      <c r="I68" s="47"/>
    </row>
    <row r="69" spans="1:9" ht="15" hidden="1" x14ac:dyDescent="0.2">
      <c r="A69" s="17">
        <f t="shared" si="6"/>
        <v>2010</v>
      </c>
      <c r="B69" s="22" t="s">
        <v>30</v>
      </c>
      <c r="C69" s="19">
        <f>Indeks!H70</f>
        <v>103.54391995625241</v>
      </c>
      <c r="D69" s="63">
        <f t="shared" ref="D69:D86" si="7">(C69-C68)/C68</f>
        <v>5.0736666601365436E-3</v>
      </c>
      <c r="E69" s="111"/>
      <c r="F69" s="111"/>
      <c r="G69" s="111"/>
      <c r="H69" s="24"/>
      <c r="I69" s="47"/>
    </row>
    <row r="70" spans="1:9" ht="15" hidden="1" x14ac:dyDescent="0.2">
      <c r="A70" s="10">
        <f t="shared" si="6"/>
        <v>2010</v>
      </c>
      <c r="B70" t="s">
        <v>14</v>
      </c>
      <c r="C70" s="11">
        <f>Indeks!H71</f>
        <v>103.68044887758985</v>
      </c>
      <c r="D70" s="61">
        <f t="shared" si="7"/>
        <v>1.3185604852040344E-3</v>
      </c>
      <c r="E70" s="108"/>
      <c r="F70" s="108"/>
      <c r="G70" s="108"/>
      <c r="H70" s="57"/>
      <c r="I70" s="47"/>
    </row>
    <row r="71" spans="1:9" ht="15" hidden="1" x14ac:dyDescent="0.2">
      <c r="A71" s="12">
        <f t="shared" si="6"/>
        <v>2010</v>
      </c>
      <c r="B71" s="13" t="s">
        <v>15</v>
      </c>
      <c r="C71" s="14">
        <f>Indeks!H72</f>
        <v>103.44437520283692</v>
      </c>
      <c r="D71" s="62">
        <f t="shared" si="7"/>
        <v>-2.2769353075588064E-3</v>
      </c>
      <c r="E71" s="66">
        <f>(SUM(C69:C71)-SUM(C66:C68))/SUM(C66:C68)</f>
        <v>1.0027571212780431E-2</v>
      </c>
      <c r="F71" s="66"/>
      <c r="G71" s="66"/>
      <c r="H71" s="103"/>
      <c r="I71" s="55"/>
    </row>
    <row r="72" spans="1:9" ht="15" hidden="1" x14ac:dyDescent="0.2">
      <c r="A72" s="17">
        <f t="shared" si="6"/>
        <v>2010</v>
      </c>
      <c r="B72" s="18" t="s">
        <v>16</v>
      </c>
      <c r="C72" s="19">
        <f>Indeks!H73</f>
        <v>103.17975935042105</v>
      </c>
      <c r="D72" s="63">
        <f t="shared" si="7"/>
        <v>-2.5580496947949583E-3</v>
      </c>
      <c r="E72" s="111"/>
      <c r="F72" s="111"/>
      <c r="G72" s="111"/>
      <c r="H72" s="24"/>
      <c r="I72" s="55"/>
    </row>
    <row r="73" spans="1:9" ht="15" hidden="1" x14ac:dyDescent="0.2">
      <c r="A73" s="10">
        <f t="shared" si="6"/>
        <v>2010</v>
      </c>
      <c r="B73" t="s">
        <v>17</v>
      </c>
      <c r="C73" s="11">
        <f>Indeks!H74</f>
        <v>103.80777308415638</v>
      </c>
      <c r="D73" s="108">
        <f t="shared" si="7"/>
        <v>6.0865981631383478E-3</v>
      </c>
      <c r="E73" s="108"/>
      <c r="F73" s="108"/>
      <c r="G73" s="108"/>
      <c r="H73" s="57"/>
      <c r="I73" s="55"/>
    </row>
    <row r="74" spans="1:9" ht="15.75" hidden="1" thickBot="1" x14ac:dyDescent="0.25">
      <c r="A74" s="30">
        <f t="shared" si="6"/>
        <v>2010</v>
      </c>
      <c r="B74" s="31" t="s">
        <v>18</v>
      </c>
      <c r="C74" s="32">
        <f>Indeks!H75</f>
        <v>103.82446466259715</v>
      </c>
      <c r="D74" s="64">
        <f t="shared" si="7"/>
        <v>1.6079314626313057E-4</v>
      </c>
      <c r="E74" s="102">
        <f>(SUM(C72:C74)-SUM(C69:C71))/SUM(C69:C71)</f>
        <v>4.6111191822529647E-4</v>
      </c>
      <c r="F74" s="102">
        <f>(SUM(C69:C74)-SUM(C63:C68))/SUM(C63:C68)</f>
        <v>1.4351122452095699E-2</v>
      </c>
      <c r="G74" s="102">
        <f>(SUM(C63:C74)-SUM(C51:C62))/SUM(C51:C62)</f>
        <v>2.0710425395290468E-2</v>
      </c>
      <c r="H74" s="99"/>
      <c r="I74" s="55"/>
    </row>
    <row r="75" spans="1:9" ht="15" hidden="1" x14ac:dyDescent="0.2">
      <c r="A75" s="2">
        <v>2011</v>
      </c>
      <c r="B75" t="s">
        <v>8</v>
      </c>
      <c r="C75" s="57">
        <f>Indeks!H76</f>
        <v>104.58505674273317</v>
      </c>
      <c r="D75" s="50">
        <f t="shared" si="7"/>
        <v>7.3257500783437722E-3</v>
      </c>
      <c r="E75" s="113"/>
      <c r="F75" s="113"/>
      <c r="G75" s="113"/>
      <c r="H75" s="57"/>
      <c r="I75" s="47"/>
    </row>
    <row r="76" spans="1:9" ht="15" hidden="1" x14ac:dyDescent="0.2">
      <c r="A76" s="10">
        <f>A75</f>
        <v>2011</v>
      </c>
      <c r="B76" t="s">
        <v>9</v>
      </c>
      <c r="C76" s="57">
        <f>Indeks!H77</f>
        <v>104.98013649700204</v>
      </c>
      <c r="D76" s="61">
        <f t="shared" si="7"/>
        <v>3.7775927706451664E-3</v>
      </c>
      <c r="E76" s="108"/>
      <c r="F76" s="108"/>
      <c r="G76" s="108"/>
      <c r="H76" s="57"/>
      <c r="I76" s="47"/>
    </row>
    <row r="77" spans="1:9" ht="15" hidden="1" x14ac:dyDescent="0.2">
      <c r="A77" s="12">
        <f t="shared" ref="A77:A86" si="8">A76</f>
        <v>2011</v>
      </c>
      <c r="B77" s="13" t="s">
        <v>10</v>
      </c>
      <c r="C77" s="103">
        <f>Indeks!H78</f>
        <v>105.99337858333936</v>
      </c>
      <c r="D77" s="62">
        <f t="shared" si="7"/>
        <v>9.651750513453218E-3</v>
      </c>
      <c r="E77" s="66">
        <f>(SUM(C75:C77)-SUM(C72:C74))/SUM(C72:C74)</f>
        <v>1.5271529960974951E-2</v>
      </c>
      <c r="F77" s="66"/>
      <c r="G77" s="66"/>
      <c r="H77" s="103"/>
      <c r="I77" s="47"/>
    </row>
    <row r="78" spans="1:9" ht="15" hidden="1" x14ac:dyDescent="0.2">
      <c r="A78" s="17">
        <f t="shared" si="8"/>
        <v>2011</v>
      </c>
      <c r="B78" s="18" t="s">
        <v>11</v>
      </c>
      <c r="C78" s="24">
        <f>Indeks!H79</f>
        <v>106.73958017361328</v>
      </c>
      <c r="D78" s="63">
        <f t="shared" si="7"/>
        <v>7.0400774109412598E-3</v>
      </c>
      <c r="E78" s="111"/>
      <c r="F78" s="111"/>
      <c r="G78" s="111"/>
      <c r="H78" s="24"/>
      <c r="I78" s="47"/>
    </row>
    <row r="79" spans="1:9" ht="15" hidden="1" x14ac:dyDescent="0.2">
      <c r="A79" s="10">
        <f t="shared" si="8"/>
        <v>2011</v>
      </c>
      <c r="B79" t="s">
        <v>12</v>
      </c>
      <c r="C79" s="57">
        <f>Indeks!H80</f>
        <v>107.36690599244854</v>
      </c>
      <c r="D79" s="61">
        <f t="shared" si="7"/>
        <v>5.8771621343732712E-3</v>
      </c>
      <c r="E79" s="108"/>
      <c r="F79" s="108"/>
      <c r="G79" s="108"/>
      <c r="H79" s="57"/>
      <c r="I79" s="47"/>
    </row>
    <row r="80" spans="1:9" ht="15" hidden="1" x14ac:dyDescent="0.2">
      <c r="A80" s="12">
        <f t="shared" si="8"/>
        <v>2011</v>
      </c>
      <c r="B80" s="13" t="s">
        <v>13</v>
      </c>
      <c r="C80" s="103">
        <f>Indeks!H81</f>
        <v>107.9271775757901</v>
      </c>
      <c r="D80" s="62">
        <f t="shared" si="7"/>
        <v>5.2182893617234889E-3</v>
      </c>
      <c r="E80" s="66">
        <f>(SUM(C78:C80)-SUM(C75:C77))/SUM(C75:C77)</f>
        <v>2.0519461351877905E-2</v>
      </c>
      <c r="F80" s="66">
        <f>(SUM(C75:C80)-SUM(C69:C74))/SUM(C69:C74)</f>
        <v>2.5924366379685884E-2</v>
      </c>
      <c r="G80" s="66"/>
      <c r="H80" s="103"/>
      <c r="I80" s="47"/>
    </row>
    <row r="81" spans="1:9" ht="15" hidden="1" x14ac:dyDescent="0.2">
      <c r="A81" s="17">
        <f t="shared" si="8"/>
        <v>2011</v>
      </c>
      <c r="B81" s="22" t="s">
        <v>30</v>
      </c>
      <c r="C81" s="24">
        <f>Indeks!H82</f>
        <v>107.30731154423297</v>
      </c>
      <c r="D81" s="63">
        <f t="shared" si="7"/>
        <v>-5.7433729435000967E-3</v>
      </c>
      <c r="E81" s="111"/>
      <c r="F81" s="111"/>
      <c r="G81" s="111"/>
      <c r="H81" s="24"/>
      <c r="I81" s="47"/>
    </row>
    <row r="82" spans="1:9" ht="15" hidden="1" x14ac:dyDescent="0.2">
      <c r="A82" s="10">
        <f t="shared" si="8"/>
        <v>2011</v>
      </c>
      <c r="B82" t="s">
        <v>14</v>
      </c>
      <c r="C82" s="57">
        <f>Indeks!H83</f>
        <v>107.77995894618688</v>
      </c>
      <c r="D82" s="61">
        <f t="shared" si="7"/>
        <v>4.4046150737741445E-3</v>
      </c>
      <c r="E82" s="108"/>
      <c r="F82" s="108"/>
      <c r="G82" s="108"/>
      <c r="H82" s="57"/>
      <c r="I82" s="47"/>
    </row>
    <row r="83" spans="1:9" ht="15" hidden="1" x14ac:dyDescent="0.2">
      <c r="A83" s="12">
        <f t="shared" si="8"/>
        <v>2011</v>
      </c>
      <c r="B83" s="13" t="s">
        <v>15</v>
      </c>
      <c r="C83" s="103">
        <f>Indeks!H84</f>
        <v>107.72051815768444</v>
      </c>
      <c r="D83" s="62">
        <f t="shared" si="7"/>
        <v>-5.515013095534801E-4</v>
      </c>
      <c r="E83" s="66">
        <f>(SUM(C81:C83)-SUM(C78:C80))/SUM(C78:C80)</f>
        <v>2.4038633019215494E-3</v>
      </c>
      <c r="F83" s="66"/>
      <c r="G83" s="66"/>
      <c r="H83" s="103"/>
      <c r="I83" s="55"/>
    </row>
    <row r="84" spans="1:9" ht="15" hidden="1" x14ac:dyDescent="0.2">
      <c r="A84" s="17">
        <f t="shared" si="8"/>
        <v>2011</v>
      </c>
      <c r="B84" s="18" t="s">
        <v>16</v>
      </c>
      <c r="C84" s="24">
        <f>Indeks!H85</f>
        <v>107.15480734386321</v>
      </c>
      <c r="D84" s="61">
        <f t="shared" si="7"/>
        <v>-5.2516532922086629E-3</v>
      </c>
      <c r="E84" s="111"/>
      <c r="F84" s="111"/>
      <c r="G84" s="111"/>
      <c r="H84" s="24"/>
      <c r="I84" s="55"/>
    </row>
    <row r="85" spans="1:9" ht="15" hidden="1" x14ac:dyDescent="0.2">
      <c r="A85" s="10">
        <f t="shared" si="8"/>
        <v>2011</v>
      </c>
      <c r="B85" t="s">
        <v>17</v>
      </c>
      <c r="C85" s="57">
        <f>Indeks!H86</f>
        <v>107.28408664030727</v>
      </c>
      <c r="D85" s="61">
        <f t="shared" si="7"/>
        <v>1.2064722026814184E-3</v>
      </c>
      <c r="E85" s="108"/>
      <c r="F85" s="108"/>
      <c r="G85" s="108"/>
      <c r="H85" s="57"/>
      <c r="I85" s="55"/>
    </row>
    <row r="86" spans="1:9" ht="15.75" hidden="1" thickBot="1" x14ac:dyDescent="0.25">
      <c r="A86" s="30">
        <f t="shared" si="8"/>
        <v>2011</v>
      </c>
      <c r="B86" s="31" t="s">
        <v>18</v>
      </c>
      <c r="C86" s="99">
        <f>Indeks!H87</f>
        <v>108.00417847192873</v>
      </c>
      <c r="D86" s="64">
        <f t="shared" si="7"/>
        <v>6.7120097133857408E-3</v>
      </c>
      <c r="E86" s="108">
        <f>(SUM(C84:C86)-SUM(C81:C83))/SUM(C81:C83)</f>
        <v>-1.1298246350636928E-3</v>
      </c>
      <c r="F86" s="108">
        <f>(SUM(C81:C86)-SUM(C75:C80))/SUM(C75:C80)</f>
        <v>1.2011792352664535E-2</v>
      </c>
      <c r="G86" s="108">
        <f>(SUM(C75:C86)-SUM(C63:C74))/SUM(C63:C74)</f>
        <v>3.9438995472317266E-2</v>
      </c>
      <c r="H86" s="99"/>
      <c r="I86" s="55"/>
    </row>
    <row r="87" spans="1:9" ht="13.5" hidden="1" customHeight="1" x14ac:dyDescent="0.2">
      <c r="A87" s="2">
        <v>2012</v>
      </c>
      <c r="B87" t="s">
        <v>8</v>
      </c>
      <c r="C87" s="57">
        <f>Indeks!H88</f>
        <v>108.28959502910448</v>
      </c>
      <c r="D87" s="108">
        <f t="shared" ref="D87:D110" si="9">(C87-C86)/C86</f>
        <v>2.6426436570686283E-3</v>
      </c>
      <c r="E87" s="113"/>
      <c r="F87" s="113"/>
      <c r="G87" s="113"/>
      <c r="H87" s="57"/>
    </row>
    <row r="88" spans="1:9" hidden="1" x14ac:dyDescent="0.2">
      <c r="A88" s="10">
        <f>A87</f>
        <v>2012</v>
      </c>
      <c r="B88" t="s">
        <v>9</v>
      </c>
      <c r="C88" s="57">
        <f>Indeks!H89</f>
        <v>107.42545592963126</v>
      </c>
      <c r="D88" s="108">
        <f t="shared" si="9"/>
        <v>-7.9798903970503352E-3</v>
      </c>
      <c r="E88" s="108"/>
      <c r="F88" s="108"/>
      <c r="G88" s="108"/>
      <c r="H88" s="57"/>
    </row>
    <row r="89" spans="1:9" hidden="1" x14ac:dyDescent="0.2">
      <c r="A89" s="12">
        <f t="shared" ref="A89:A98" si="10">A88</f>
        <v>2012</v>
      </c>
      <c r="B89" s="13" t="s">
        <v>10</v>
      </c>
      <c r="C89" s="103">
        <f>Indeks!H90</f>
        <v>108.29331925732106</v>
      </c>
      <c r="D89" s="66">
        <f t="shared" si="9"/>
        <v>8.0787493074108568E-3</v>
      </c>
      <c r="E89" s="66">
        <f>(SUM(C87:C89)-SUM(C84:C86))/SUM(C84:C86)</f>
        <v>4.8544933778060162E-3</v>
      </c>
      <c r="F89" s="66"/>
      <c r="G89" s="66"/>
      <c r="H89" s="103"/>
    </row>
    <row r="90" spans="1:9" hidden="1" x14ac:dyDescent="0.2">
      <c r="A90" s="17">
        <f t="shared" si="10"/>
        <v>2012</v>
      </c>
      <c r="B90" s="18" t="s">
        <v>11</v>
      </c>
      <c r="C90" s="24">
        <f>Indeks!H91</f>
        <v>109.25827194239672</v>
      </c>
      <c r="D90" s="111">
        <f t="shared" si="9"/>
        <v>8.910546760348045E-3</v>
      </c>
      <c r="E90" s="111"/>
      <c r="F90" s="111"/>
      <c r="G90" s="111"/>
      <c r="H90" s="24"/>
    </row>
    <row r="91" spans="1:9" hidden="1" x14ac:dyDescent="0.2">
      <c r="A91" s="10">
        <f t="shared" si="10"/>
        <v>2012</v>
      </c>
      <c r="B91" t="s">
        <v>12</v>
      </c>
      <c r="C91" s="57">
        <f>Indeks!H92</f>
        <v>109.53779353454972</v>
      </c>
      <c r="D91" s="108">
        <f t="shared" si="9"/>
        <v>2.5583563347988214E-3</v>
      </c>
      <c r="E91" s="108"/>
      <c r="F91" s="108"/>
      <c r="G91" s="108"/>
      <c r="H91" s="57"/>
    </row>
    <row r="92" spans="1:9" hidden="1" x14ac:dyDescent="0.2">
      <c r="A92" s="12">
        <f t="shared" si="10"/>
        <v>2012</v>
      </c>
      <c r="B92" s="13" t="s">
        <v>13</v>
      </c>
      <c r="C92" s="103">
        <f>Indeks!H93</f>
        <v>109.13490121154003</v>
      </c>
      <c r="D92" s="66">
        <f t="shared" si="9"/>
        <v>-3.6781124578944275E-3</v>
      </c>
      <c r="E92" s="66">
        <f>(SUM(C90:C92)-SUM(C87:C89))/SUM(C87:C89)</f>
        <v>1.2106466477437001E-2</v>
      </c>
      <c r="F92" s="66">
        <f>(SUM(C87:C92)-SUM(C81:C86))/SUM(C81:C86)</f>
        <v>1.036569837178359E-2</v>
      </c>
      <c r="G92" s="66"/>
      <c r="H92" s="103"/>
    </row>
    <row r="93" spans="1:9" hidden="1" x14ac:dyDescent="0.2">
      <c r="A93" s="17">
        <f t="shared" si="10"/>
        <v>2012</v>
      </c>
      <c r="B93" s="22" t="s">
        <v>30</v>
      </c>
      <c r="C93" s="24">
        <f>Indeks!H94</f>
        <v>108.51726978812567</v>
      </c>
      <c r="D93" s="111">
        <f t="shared" si="9"/>
        <v>-5.6593391899184943E-3</v>
      </c>
      <c r="E93" s="111"/>
      <c r="F93" s="111"/>
      <c r="G93" s="111"/>
      <c r="H93" s="24"/>
    </row>
    <row r="94" spans="1:9" hidden="1" x14ac:dyDescent="0.2">
      <c r="A94" s="10">
        <f t="shared" si="10"/>
        <v>2012</v>
      </c>
      <c r="B94" t="s">
        <v>14</v>
      </c>
      <c r="C94" s="57">
        <f>Indeks!H95</f>
        <v>108.11610912573073</v>
      </c>
      <c r="D94" s="108">
        <f t="shared" si="9"/>
        <v>-3.6967448884236455E-3</v>
      </c>
      <c r="E94" s="108"/>
      <c r="F94" s="108"/>
      <c r="G94" s="108"/>
      <c r="H94" s="57"/>
    </row>
    <row r="95" spans="1:9" hidden="1" x14ac:dyDescent="0.2">
      <c r="A95" s="12">
        <f t="shared" si="10"/>
        <v>2012</v>
      </c>
      <c r="B95" s="13" t="s">
        <v>15</v>
      </c>
      <c r="C95" s="103">
        <f>Indeks!H96</f>
        <v>108.71904368898144</v>
      </c>
      <c r="D95" s="66">
        <f t="shared" si="9"/>
        <v>5.5767319794087899E-3</v>
      </c>
      <c r="E95" s="66">
        <f>(SUM(C93:C95)-SUM(C90:C92))/SUM(C90:C92)</f>
        <v>-7.8630698152336084E-3</v>
      </c>
      <c r="F95" s="66"/>
      <c r="G95" s="66"/>
      <c r="H95" s="103"/>
    </row>
    <row r="96" spans="1:9" hidden="1" x14ac:dyDescent="0.2">
      <c r="A96" s="17">
        <f t="shared" si="10"/>
        <v>2012</v>
      </c>
      <c r="B96" s="18" t="s">
        <v>16</v>
      </c>
      <c r="C96" s="24">
        <f>Indeks!H97</f>
        <v>109.53061868569037</v>
      </c>
      <c r="D96" s="108">
        <f t="shared" si="9"/>
        <v>7.4648835123186374E-3</v>
      </c>
      <c r="E96" s="111"/>
      <c r="F96" s="111"/>
      <c r="G96" s="111"/>
      <c r="H96" s="24"/>
    </row>
    <row r="97" spans="1:8" hidden="1" x14ac:dyDescent="0.2">
      <c r="A97" s="10">
        <f t="shared" si="10"/>
        <v>2012</v>
      </c>
      <c r="B97" t="s">
        <v>17</v>
      </c>
      <c r="C97" s="57">
        <f>Indeks!H98</f>
        <v>109.63876118087016</v>
      </c>
      <c r="D97" s="108">
        <f t="shared" si="9"/>
        <v>9.8732661677112979E-4</v>
      </c>
      <c r="E97" s="108"/>
      <c r="F97" s="108"/>
      <c r="G97" s="108"/>
      <c r="H97" s="57"/>
    </row>
    <row r="98" spans="1:8" ht="13.5" hidden="1" thickBot="1" x14ac:dyDescent="0.25">
      <c r="A98" s="30">
        <f t="shared" si="10"/>
        <v>2012</v>
      </c>
      <c r="B98" s="31" t="s">
        <v>18</v>
      </c>
      <c r="C98" s="99">
        <f>Indeks!H99</f>
        <v>109.71193763101257</v>
      </c>
      <c r="D98" s="102">
        <f t="shared" si="9"/>
        <v>6.6743229633627272E-4</v>
      </c>
      <c r="E98" s="108">
        <f>(SUM(C96:C98)-SUM(C93:C95))/SUM(C93:C95)</f>
        <v>1.0846376573759222E-2</v>
      </c>
      <c r="F98" s="108">
        <f>(SUM(C93:C98)-SUM(C87:C92))/SUM(C87:C92)</f>
        <v>3.5193507524206597E-3</v>
      </c>
      <c r="G98" s="108">
        <f>(SUM(C87:C98)-SUM(C75:C86))/SUM(C75:C86)</f>
        <v>1.8186152613986862E-2</v>
      </c>
      <c r="H98" s="99">
        <f>(C87+C88+C89+C90+C91+C92+C93+C94+C95+C96+C97+C98)/12</f>
        <v>108.84775641707954</v>
      </c>
    </row>
    <row r="99" spans="1:8" hidden="1" x14ac:dyDescent="0.2">
      <c r="A99" s="2">
        <v>2013</v>
      </c>
      <c r="B99" t="s">
        <v>8</v>
      </c>
      <c r="C99" s="57">
        <f>Indeks!H100</f>
        <v>109.61162330376909</v>
      </c>
      <c r="D99" s="108">
        <f t="shared" si="9"/>
        <v>-9.1434286377169128E-4</v>
      </c>
      <c r="E99" s="113"/>
      <c r="F99" s="113"/>
      <c r="G99" s="113"/>
      <c r="H99" s="57"/>
    </row>
    <row r="100" spans="1:8" hidden="1" x14ac:dyDescent="0.2">
      <c r="A100" s="10">
        <f>A99</f>
        <v>2013</v>
      </c>
      <c r="B100" t="s">
        <v>9</v>
      </c>
      <c r="C100" s="57">
        <f>Indeks!H101</f>
        <v>109.06871627848055</v>
      </c>
      <c r="D100" s="108">
        <f t="shared" si="9"/>
        <v>-4.9530059762364093E-3</v>
      </c>
      <c r="E100" s="108"/>
      <c r="F100" s="108"/>
      <c r="G100" s="108"/>
      <c r="H100" s="57"/>
    </row>
    <row r="101" spans="1:8" hidden="1" x14ac:dyDescent="0.2">
      <c r="A101" s="12">
        <f t="shared" ref="A101:A110" si="11">A100</f>
        <v>2013</v>
      </c>
      <c r="B101" s="13" t="s">
        <v>10</v>
      </c>
      <c r="C101" s="103">
        <f>Indeks!H102</f>
        <v>109.30875268340239</v>
      </c>
      <c r="D101" s="66">
        <f t="shared" si="9"/>
        <v>2.200781425802825E-3</v>
      </c>
      <c r="E101" s="66">
        <f>(SUM(C99:C101)-SUM(C96:C98))/SUM(C96:C98)</f>
        <v>-2.7129094431690105E-3</v>
      </c>
      <c r="F101" s="66"/>
      <c r="G101" s="66"/>
      <c r="H101" s="103"/>
    </row>
    <row r="102" spans="1:8" hidden="1" x14ac:dyDescent="0.2">
      <c r="A102" s="17">
        <f t="shared" si="11"/>
        <v>2013</v>
      </c>
      <c r="B102" s="18" t="s">
        <v>11</v>
      </c>
      <c r="C102" s="24">
        <f>Indeks!H103</f>
        <v>109.98126889310322</v>
      </c>
      <c r="D102" s="135">
        <f t="shared" si="9"/>
        <v>6.1524461051045065E-3</v>
      </c>
      <c r="E102" s="135"/>
      <c r="F102" s="135"/>
      <c r="G102" s="135"/>
      <c r="H102" s="24"/>
    </row>
    <row r="103" spans="1:8" hidden="1" x14ac:dyDescent="0.2">
      <c r="A103" s="10">
        <f t="shared" si="11"/>
        <v>2013</v>
      </c>
      <c r="B103" t="s">
        <v>12</v>
      </c>
      <c r="C103" s="57">
        <f>Indeks!H104</f>
        <v>109.4734730209545</v>
      </c>
      <c r="D103" s="108">
        <f t="shared" si="9"/>
        <v>-4.6171123252112473E-3</v>
      </c>
      <c r="E103" s="108"/>
      <c r="F103" s="108"/>
      <c r="G103" s="108"/>
      <c r="H103" s="57"/>
    </row>
    <row r="104" spans="1:8" hidden="1" x14ac:dyDescent="0.2">
      <c r="A104" s="12">
        <f t="shared" si="11"/>
        <v>2013</v>
      </c>
      <c r="B104" s="13" t="s">
        <v>13</v>
      </c>
      <c r="C104" s="103">
        <f>Indeks!H105</f>
        <v>108.59665368749857</v>
      </c>
      <c r="D104" s="66">
        <f t="shared" si="9"/>
        <v>-8.0094228241767169E-3</v>
      </c>
      <c r="E104" s="66">
        <f>(SUM(C102:C104)-SUM(C99:C101))/SUM(C99:C101)</f>
        <v>1.8995551185516362E-4</v>
      </c>
      <c r="F104" s="66">
        <f>(SUM(C99:C104)-SUM(C93:C98))/SUM(C93:C98)</f>
        <v>2.7616242575935626E-3</v>
      </c>
      <c r="G104" s="66"/>
      <c r="H104" s="103"/>
    </row>
    <row r="105" spans="1:8" hidden="1" x14ac:dyDescent="0.2">
      <c r="A105" s="17">
        <f t="shared" si="11"/>
        <v>2013</v>
      </c>
      <c r="B105" s="22" t="s">
        <v>30</v>
      </c>
      <c r="C105" s="24">
        <f>Indeks!H106</f>
        <v>109.00738642005831</v>
      </c>
      <c r="D105" s="111">
        <f t="shared" si="9"/>
        <v>3.7821859018020505E-3</v>
      </c>
      <c r="E105" s="111"/>
      <c r="F105" s="111"/>
      <c r="G105" s="111"/>
      <c r="H105" s="24"/>
    </row>
    <row r="106" spans="1:8" hidden="1" x14ac:dyDescent="0.2">
      <c r="A106" s="10">
        <f t="shared" si="11"/>
        <v>2013</v>
      </c>
      <c r="B106" t="s">
        <v>14</v>
      </c>
      <c r="C106" s="57">
        <f>Indeks!H107</f>
        <v>109.18852485490916</v>
      </c>
      <c r="D106" s="108">
        <f t="shared" si="9"/>
        <v>1.6617078970487093E-3</v>
      </c>
      <c r="E106" s="108"/>
      <c r="F106" s="108"/>
      <c r="G106" s="108"/>
      <c r="H106" s="57"/>
    </row>
    <row r="107" spans="1:8" hidden="1" x14ac:dyDescent="0.2">
      <c r="A107" s="12">
        <f t="shared" si="11"/>
        <v>2013</v>
      </c>
      <c r="B107" s="13" t="s">
        <v>15</v>
      </c>
      <c r="C107" s="103">
        <f>Indeks!H108</f>
        <v>109.60588031131111</v>
      </c>
      <c r="D107" s="66">
        <f t="shared" si="9"/>
        <v>3.8223380795421127E-3</v>
      </c>
      <c r="E107" s="66">
        <f>(SUM(C105:C107)-SUM(C102:C104))/SUM(C102:C104)</f>
        <v>-7.6086862797830862E-4</v>
      </c>
      <c r="F107" s="66"/>
      <c r="G107" s="66"/>
      <c r="H107" s="103"/>
    </row>
    <row r="108" spans="1:8" hidden="1" x14ac:dyDescent="0.2">
      <c r="A108" s="17">
        <f t="shared" si="11"/>
        <v>2013</v>
      </c>
      <c r="B108" s="18" t="s">
        <v>16</v>
      </c>
      <c r="C108" s="24">
        <f>Indeks!H109</f>
        <v>109.84851052508078</v>
      </c>
      <c r="D108" s="108">
        <f t="shared" si="9"/>
        <v>2.2136605543474053E-3</v>
      </c>
      <c r="E108" s="111"/>
      <c r="F108" s="111"/>
      <c r="G108" s="111"/>
      <c r="H108" s="24"/>
    </row>
    <row r="109" spans="1:8" hidden="1" x14ac:dyDescent="0.2">
      <c r="A109" s="10">
        <f t="shared" si="11"/>
        <v>2013</v>
      </c>
      <c r="B109" t="s">
        <v>17</v>
      </c>
      <c r="C109" s="57">
        <f>Indeks!H110</f>
        <v>110.34369278648441</v>
      </c>
      <c r="D109" s="108">
        <f t="shared" si="9"/>
        <v>4.5078650501188785E-3</v>
      </c>
      <c r="E109" s="108"/>
      <c r="F109" s="108"/>
      <c r="G109" s="108"/>
      <c r="H109" s="57"/>
    </row>
    <row r="110" spans="1:8" ht="13.5" hidden="1" thickBot="1" x14ac:dyDescent="0.25">
      <c r="A110" s="30">
        <f t="shared" si="11"/>
        <v>2013</v>
      </c>
      <c r="B110" s="31" t="s">
        <v>18</v>
      </c>
      <c r="C110" s="99">
        <f>Indeks!H111</f>
        <v>109.90920777464092</v>
      </c>
      <c r="D110" s="102">
        <f t="shared" si="9"/>
        <v>-3.9375609141903802E-3</v>
      </c>
      <c r="E110" s="108">
        <f>(SUM(C108:C110)-SUM(C105:C107))/SUM(C105:C107)</f>
        <v>7.0152743485609121E-3</v>
      </c>
      <c r="F110" s="108">
        <f>(SUM(C105:C110)-SUM(C99:C104))/SUM(C99:C104)</f>
        <v>2.8393290349075133E-3</v>
      </c>
      <c r="G110" s="108">
        <f>(SUM(C99:C110)-SUM(C87:C98))/SUM(C87:C98)</f>
        <v>5.9491453862735005E-3</v>
      </c>
      <c r="H110" s="99">
        <f>(C99+C100+C101+C102+C103+C104+C105+C106+C107+C108+C109+C110)/12</f>
        <v>109.49530754497442</v>
      </c>
    </row>
    <row r="111" spans="1:8" hidden="1" x14ac:dyDescent="0.2">
      <c r="A111" s="2">
        <v>2014</v>
      </c>
      <c r="B111" t="s">
        <v>8</v>
      </c>
      <c r="C111" s="57">
        <f>Indeks!H112</f>
        <v>109.44285671614632</v>
      </c>
      <c r="D111" s="108">
        <f t="shared" ref="D111:D122" si="12">(C111-C110)/C110</f>
        <v>-4.2430572282060918E-3</v>
      </c>
      <c r="E111" s="113"/>
      <c r="F111" s="113"/>
      <c r="G111" s="113"/>
      <c r="H111" s="57"/>
    </row>
    <row r="112" spans="1:8" hidden="1" x14ac:dyDescent="0.2">
      <c r="A112" s="10">
        <f>A111</f>
        <v>2014</v>
      </c>
      <c r="B112" t="s">
        <v>9</v>
      </c>
      <c r="C112" s="57">
        <f>Indeks!H113</f>
        <v>109.6814511318544</v>
      </c>
      <c r="D112" s="108">
        <f t="shared" si="12"/>
        <v>2.1800821256603609E-3</v>
      </c>
      <c r="E112" s="108"/>
      <c r="F112" s="108"/>
      <c r="G112" s="108"/>
      <c r="H112" s="57"/>
    </row>
    <row r="113" spans="1:8" hidden="1" x14ac:dyDescent="0.2">
      <c r="A113" s="12">
        <f t="shared" ref="A113:A122" si="13">A112</f>
        <v>2014</v>
      </c>
      <c r="B113" s="13" t="s">
        <v>10</v>
      </c>
      <c r="C113" s="103">
        <f>Indeks!H114</f>
        <v>109.41882712501318</v>
      </c>
      <c r="D113" s="66">
        <f t="shared" si="12"/>
        <v>-2.394424983724058E-3</v>
      </c>
      <c r="E113" s="66">
        <f>(SUM(C111:C113)-SUM(C108:C110))/SUM(C108:C110)</f>
        <v>-4.7205981581981788E-3</v>
      </c>
      <c r="F113" s="66"/>
      <c r="G113" s="66"/>
      <c r="H113" s="103"/>
    </row>
    <row r="114" spans="1:8" hidden="1" x14ac:dyDescent="0.2">
      <c r="A114" s="17">
        <f t="shared" si="13"/>
        <v>2014</v>
      </c>
      <c r="B114" s="18" t="s">
        <v>11</v>
      </c>
      <c r="C114" s="24">
        <f>Indeks!H115</f>
        <v>109.7985019237603</v>
      </c>
      <c r="D114" s="108">
        <f t="shared" si="12"/>
        <v>3.4699220300847483E-3</v>
      </c>
      <c r="E114" s="111"/>
      <c r="F114" s="111"/>
      <c r="G114" s="111"/>
      <c r="H114" s="24"/>
    </row>
    <row r="115" spans="1:8" hidden="1" x14ac:dyDescent="0.2">
      <c r="A115" s="10">
        <f t="shared" si="13"/>
        <v>2014</v>
      </c>
      <c r="B115" t="s">
        <v>12</v>
      </c>
      <c r="C115" s="57">
        <f>Indeks!H116</f>
        <v>109.63274323931731</v>
      </c>
      <c r="D115" s="108">
        <f t="shared" si="12"/>
        <v>-1.5096625321726856E-3</v>
      </c>
      <c r="E115" s="108"/>
      <c r="F115" s="108"/>
      <c r="G115" s="108"/>
      <c r="H115" s="57"/>
    </row>
    <row r="116" spans="1:8" hidden="1" x14ac:dyDescent="0.2">
      <c r="A116" s="12">
        <f t="shared" si="13"/>
        <v>2014</v>
      </c>
      <c r="B116" s="13" t="s">
        <v>13</v>
      </c>
      <c r="C116" s="103">
        <f>Indeks!H117</f>
        <v>109.47986993556179</v>
      </c>
      <c r="D116" s="66">
        <f t="shared" si="12"/>
        <v>-1.3944128299499508E-3</v>
      </c>
      <c r="E116" s="66">
        <f>(SUM(C114:C116)-SUM(C111:C113))/SUM(C111:C113)</f>
        <v>1.120035960135659E-3</v>
      </c>
      <c r="F116" s="66">
        <f>(SUM(C111:C116)-SUM(C105:C110))/SUM(C105:C110)</f>
        <v>-6.8239917210854268E-4</v>
      </c>
      <c r="G116" s="66"/>
      <c r="H116" s="103"/>
    </row>
    <row r="117" spans="1:8" hidden="1" x14ac:dyDescent="0.2">
      <c r="A117" s="17">
        <f t="shared" si="13"/>
        <v>2014</v>
      </c>
      <c r="B117" s="22" t="s">
        <v>30</v>
      </c>
      <c r="C117" s="24">
        <f>Indeks!H118</f>
        <v>109.43855060393879</v>
      </c>
      <c r="D117" s="111">
        <f t="shared" si="12"/>
        <v>-3.7741487679260723E-4</v>
      </c>
      <c r="E117" s="111"/>
      <c r="F117" s="111"/>
      <c r="G117" s="111"/>
      <c r="H117" s="24"/>
    </row>
    <row r="118" spans="1:8" hidden="1" x14ac:dyDescent="0.2">
      <c r="A118" s="10">
        <f t="shared" si="13"/>
        <v>2014</v>
      </c>
      <c r="B118" t="s">
        <v>14</v>
      </c>
      <c r="C118" s="57">
        <f>Indeks!H119</f>
        <v>109.6545048519073</v>
      </c>
      <c r="D118" s="108">
        <f t="shared" si="12"/>
        <v>1.9732922884738852E-3</v>
      </c>
      <c r="E118" s="108"/>
      <c r="F118" s="108"/>
      <c r="G118" s="108"/>
      <c r="H118" s="57"/>
    </row>
    <row r="119" spans="1:8" hidden="1" x14ac:dyDescent="0.2">
      <c r="A119" s="12">
        <f t="shared" si="13"/>
        <v>2014</v>
      </c>
      <c r="B119" s="13" t="s">
        <v>15</v>
      </c>
      <c r="C119" s="103">
        <f>Indeks!H120</f>
        <v>109.46041207580026</v>
      </c>
      <c r="D119" s="66">
        <f t="shared" si="12"/>
        <v>-1.7700392370488664E-3</v>
      </c>
      <c r="E119" s="66">
        <f>(SUM(C117:C119)-SUM(C114:C116))/SUM(C114:C116)</f>
        <v>-1.0873684426439122E-3</v>
      </c>
      <c r="F119" s="66"/>
      <c r="G119" s="66"/>
      <c r="H119" s="103"/>
    </row>
    <row r="120" spans="1:8" hidden="1" x14ac:dyDescent="0.2">
      <c r="A120" s="17">
        <f t="shared" si="13"/>
        <v>2014</v>
      </c>
      <c r="B120" s="18" t="s">
        <v>16</v>
      </c>
      <c r="C120" s="24">
        <f>Indeks!H121</f>
        <v>109.67258252792017</v>
      </c>
      <c r="D120" s="108">
        <f t="shared" si="12"/>
        <v>1.938330471229913E-3</v>
      </c>
      <c r="E120" s="111"/>
      <c r="F120" s="111"/>
      <c r="G120" s="111"/>
      <c r="H120" s="24"/>
    </row>
    <row r="121" spans="1:8" hidden="1" x14ac:dyDescent="0.2">
      <c r="A121" s="10">
        <f t="shared" si="13"/>
        <v>2014</v>
      </c>
      <c r="B121" t="s">
        <v>17</v>
      </c>
      <c r="C121" s="57">
        <f>Indeks!H122</f>
        <v>109.46534073069375</v>
      </c>
      <c r="D121" s="108">
        <f t="shared" si="12"/>
        <v>-1.8896408970186978E-3</v>
      </c>
      <c r="E121" s="108"/>
      <c r="F121" s="108"/>
      <c r="G121" s="108"/>
      <c r="H121" s="57"/>
    </row>
    <row r="122" spans="1:8" ht="13.5" hidden="1" thickBot="1" x14ac:dyDescent="0.25">
      <c r="A122" s="30">
        <f t="shared" si="13"/>
        <v>2014</v>
      </c>
      <c r="B122" s="31" t="s">
        <v>18</v>
      </c>
      <c r="C122" s="99">
        <f>Indeks!H123</f>
        <v>108.97563640985736</v>
      </c>
      <c r="D122" s="102">
        <f t="shared" si="12"/>
        <v>-4.4736015762392245E-3</v>
      </c>
      <c r="E122" s="102">
        <f>(SUM(C120:C122)-SUM(C117:C119))/SUM(C117:C119)</f>
        <v>-1.3389232093028488E-3</v>
      </c>
      <c r="F122" s="102">
        <f>(SUM(C117:C122)-SUM(C111:C116))/SUM(C111:C116)</f>
        <v>-1.1973804587164043E-3</v>
      </c>
      <c r="G122" s="102">
        <f>(SUM(C111:C122)-SUM(C99:C110))/SUM(C99:C110)</f>
        <v>1.3515551188105187E-4</v>
      </c>
      <c r="H122" s="99">
        <f>(C111+C112+C113+C114+C115+C116+C117+C118+C119+C120+C121+C122)/12</f>
        <v>109.51010643931424</v>
      </c>
    </row>
    <row r="123" spans="1:8" hidden="1" x14ac:dyDescent="0.2">
      <c r="A123" s="48">
        <v>2015</v>
      </c>
      <c r="B123" s="49" t="s">
        <v>8</v>
      </c>
      <c r="C123" s="104">
        <f>Indeks!H124</f>
        <v>109.09102214962684</v>
      </c>
      <c r="D123" s="113">
        <f t="shared" ref="D123:D134" si="14">(C123-C122)/C122</f>
        <v>1.058821435421708E-3</v>
      </c>
      <c r="E123" s="113"/>
      <c r="F123" s="113"/>
      <c r="G123" s="113"/>
      <c r="H123" s="104"/>
    </row>
    <row r="124" spans="1:8" hidden="1" x14ac:dyDescent="0.2">
      <c r="A124" s="10">
        <f t="shared" ref="A124:A134" si="15">A123</f>
        <v>2015</v>
      </c>
      <c r="B124" t="s">
        <v>9</v>
      </c>
      <c r="C124" s="57">
        <f>Indeks!H125</f>
        <v>107.60102193343101</v>
      </c>
      <c r="D124" s="108">
        <f t="shared" si="14"/>
        <v>-1.3658321160032516E-2</v>
      </c>
      <c r="E124" s="108"/>
      <c r="F124" s="57"/>
      <c r="G124" s="108"/>
      <c r="H124" s="57"/>
    </row>
    <row r="125" spans="1:8" hidden="1" x14ac:dyDescent="0.2">
      <c r="A125" s="12">
        <f t="shared" si="15"/>
        <v>2015</v>
      </c>
      <c r="B125" s="13" t="s">
        <v>10</v>
      </c>
      <c r="C125" s="103">
        <f>Indeks!H126</f>
        <v>106.51656379649668</v>
      </c>
      <c r="D125" s="66">
        <f t="shared" si="14"/>
        <v>-1.0078511499688605E-2</v>
      </c>
      <c r="E125" s="66">
        <f>(SUM(C123:C125)-SUM(C120:C122))/SUM(C120:C122)</f>
        <v>-1.4948945706092674E-2</v>
      </c>
      <c r="F125" s="66"/>
      <c r="G125" s="66"/>
      <c r="H125" s="103"/>
    </row>
    <row r="126" spans="1:8" hidden="1" x14ac:dyDescent="0.2">
      <c r="A126" s="10">
        <f t="shared" si="15"/>
        <v>2015</v>
      </c>
      <c r="B126" t="s">
        <v>11</v>
      </c>
      <c r="C126" s="57">
        <f>Indeks!H127</f>
        <v>107.81647390481069</v>
      </c>
      <c r="D126" s="108">
        <f t="shared" si="14"/>
        <v>1.2203830671796069E-2</v>
      </c>
      <c r="E126" s="108"/>
      <c r="F126" s="108"/>
      <c r="G126" s="108"/>
      <c r="H126" s="57"/>
    </row>
    <row r="127" spans="1:8" hidden="1" x14ac:dyDescent="0.2">
      <c r="A127" s="10">
        <f t="shared" si="15"/>
        <v>2015</v>
      </c>
      <c r="B127" t="s">
        <v>12</v>
      </c>
      <c r="C127" s="57">
        <f>Indeks!H128</f>
        <v>108.0300435832911</v>
      </c>
      <c r="D127" s="108">
        <f t="shared" si="14"/>
        <v>1.9808631347837257E-3</v>
      </c>
      <c r="E127" s="108"/>
      <c r="F127" s="108"/>
      <c r="G127" s="108"/>
      <c r="H127" s="57"/>
    </row>
    <row r="128" spans="1:8" hidden="1" x14ac:dyDescent="0.2">
      <c r="A128" s="12">
        <f t="shared" si="15"/>
        <v>2015</v>
      </c>
      <c r="B128" s="13" t="s">
        <v>13</v>
      </c>
      <c r="C128" s="103">
        <f>Indeks!H129</f>
        <v>108.16294508673766</v>
      </c>
      <c r="D128" s="66">
        <f t="shared" si="14"/>
        <v>1.2302272501083856E-3</v>
      </c>
      <c r="E128" s="66">
        <f>(SUM(C126:C128)-SUM(C123:C125))/SUM(C123:C125)</f>
        <v>2.4778260100776685E-3</v>
      </c>
      <c r="F128" s="66">
        <f>(SUM(C123:C128)-SUM(C117:C122))/SUM(C117:C122)</f>
        <v>-1.4389266331845384E-2</v>
      </c>
      <c r="G128" s="66"/>
      <c r="H128" s="103"/>
    </row>
    <row r="129" spans="1:8" hidden="1" x14ac:dyDescent="0.2">
      <c r="A129" s="17">
        <f t="shared" si="15"/>
        <v>2015</v>
      </c>
      <c r="B129" s="22" t="s">
        <v>30</v>
      </c>
      <c r="C129" s="24">
        <f>Indeks!H130</f>
        <v>108.79099023339268</v>
      </c>
      <c r="D129" s="111">
        <f t="shared" si="14"/>
        <v>5.8064723196226955E-3</v>
      </c>
      <c r="E129" s="111"/>
      <c r="F129" s="111"/>
      <c r="G129" s="111"/>
      <c r="H129" s="24"/>
    </row>
    <row r="130" spans="1:8" hidden="1" x14ac:dyDescent="0.2">
      <c r="A130" s="10">
        <f t="shared" si="15"/>
        <v>2015</v>
      </c>
      <c r="B130" t="s">
        <v>14</v>
      </c>
      <c r="C130" s="57">
        <f>Indeks!H131</f>
        <v>108.81445242973098</v>
      </c>
      <c r="D130" s="108">
        <f t="shared" si="14"/>
        <v>2.15663046066282E-4</v>
      </c>
      <c r="E130" s="108"/>
      <c r="F130" s="108"/>
      <c r="G130" s="108"/>
      <c r="H130" s="57"/>
    </row>
    <row r="131" spans="1:8" hidden="1" x14ac:dyDescent="0.2">
      <c r="A131" s="12">
        <f t="shared" si="15"/>
        <v>2015</v>
      </c>
      <c r="B131" s="13" t="s">
        <v>15</v>
      </c>
      <c r="C131" s="103">
        <f>Indeks!H132</f>
        <v>108.30898762031161</v>
      </c>
      <c r="D131" s="66">
        <f t="shared" si="14"/>
        <v>-4.6451992187874014E-3</v>
      </c>
      <c r="E131" s="66">
        <f>(SUM(C129:C131)-SUM(C126:C128))/SUM(C126:C128)</f>
        <v>5.8793582553342341E-3</v>
      </c>
      <c r="F131" s="66"/>
      <c r="G131" s="66"/>
      <c r="H131" s="103"/>
    </row>
    <row r="132" spans="1:8" hidden="1" x14ac:dyDescent="0.2">
      <c r="A132" s="10">
        <f t="shared" si="15"/>
        <v>2015</v>
      </c>
      <c r="B132" t="s">
        <v>16</v>
      </c>
      <c r="C132" s="57">
        <f>Indeks!H133</f>
        <v>108.06715817417275</v>
      </c>
      <c r="D132" s="108">
        <f t="shared" si="14"/>
        <v>-2.2327735809573226E-3</v>
      </c>
      <c r="E132" s="108"/>
      <c r="F132" s="108"/>
      <c r="G132" s="108"/>
      <c r="H132" s="57"/>
    </row>
    <row r="133" spans="1:8" hidden="1" x14ac:dyDescent="0.2">
      <c r="A133" s="10">
        <f t="shared" si="15"/>
        <v>2015</v>
      </c>
      <c r="B133" t="s">
        <v>17</v>
      </c>
      <c r="C133" s="57">
        <f>Indeks!H134</f>
        <v>107.86511619099869</v>
      </c>
      <c r="D133" s="108">
        <f t="shared" si="14"/>
        <v>-1.8695965230104659E-3</v>
      </c>
      <c r="E133" s="108"/>
      <c r="F133" s="108"/>
      <c r="G133" s="108"/>
      <c r="H133" s="57"/>
    </row>
    <row r="134" spans="1:8" ht="13.5" hidden="1" thickBot="1" x14ac:dyDescent="0.25">
      <c r="A134" s="30">
        <f t="shared" si="15"/>
        <v>2015</v>
      </c>
      <c r="B134" s="31" t="s">
        <v>18</v>
      </c>
      <c r="C134" s="99">
        <f>Indeks!H135</f>
        <v>107.89207352797142</v>
      </c>
      <c r="D134" s="102">
        <f t="shared" si="14"/>
        <v>2.4991709947258989E-4</v>
      </c>
      <c r="E134" s="102">
        <f>(SUM(C132:C134)-SUM(C129:C131))/SUM(C129:C131)</f>
        <v>-6.4129789787911564E-3</v>
      </c>
      <c r="F134" s="102">
        <f>(SUM(C129:C134)-SUM(C123:C128))/SUM(C123:C128)</f>
        <v>3.8946806914931329E-3</v>
      </c>
      <c r="G134" s="102">
        <f>(SUM(C123:C134)-SUM(C111:C122))/SUM(C111:C122)</f>
        <v>-1.306152555145724E-2</v>
      </c>
      <c r="H134" s="99">
        <f>(C123+C124+C125+C126+C127+C128+C129+C130+C131+C132+C133+C134)/12</f>
        <v>108.07973738591433</v>
      </c>
    </row>
    <row r="135" spans="1:8" hidden="1" x14ac:dyDescent="0.2">
      <c r="A135" s="2">
        <v>2016</v>
      </c>
      <c r="B135" t="s">
        <v>8</v>
      </c>
      <c r="C135" s="104">
        <f>Indeks!H136</f>
        <v>107.87881342950875</v>
      </c>
      <c r="D135" s="113">
        <f t="shared" ref="D135:D146" si="16">(C135-C134)/C134</f>
        <v>-1.2290150730330122E-4</v>
      </c>
      <c r="E135" s="113"/>
      <c r="F135" s="113"/>
      <c r="G135" s="113"/>
      <c r="H135" s="104"/>
    </row>
    <row r="136" spans="1:8" hidden="1" x14ac:dyDescent="0.2">
      <c r="A136" s="10">
        <f>A135</f>
        <v>2016</v>
      </c>
      <c r="B136" t="s">
        <v>9</v>
      </c>
      <c r="C136" s="57">
        <f>Indeks!H137</f>
        <v>106.99342825452445</v>
      </c>
      <c r="D136" s="108">
        <f t="shared" si="16"/>
        <v>-8.2072201838115748E-3</v>
      </c>
      <c r="E136" s="108"/>
      <c r="F136" s="108"/>
      <c r="G136" s="108"/>
      <c r="H136" s="57"/>
    </row>
    <row r="137" spans="1:8" hidden="1" x14ac:dyDescent="0.2">
      <c r="A137" s="12">
        <f t="shared" ref="A137:A146" si="17">A136</f>
        <v>2016</v>
      </c>
      <c r="B137" s="13" t="s">
        <v>10</v>
      </c>
      <c r="C137" s="103">
        <f>Indeks!H138</f>
        <v>106.39519100504542</v>
      </c>
      <c r="D137" s="66">
        <f t="shared" si="16"/>
        <v>-5.5913457418701714E-3</v>
      </c>
      <c r="E137" s="66">
        <f>(SUM(C135:C137)-SUM(C132:C134))/SUM(C132:C134)</f>
        <v>-7.8959942965992867E-3</v>
      </c>
      <c r="F137" s="66"/>
      <c r="G137" s="66"/>
      <c r="H137" s="103"/>
    </row>
    <row r="138" spans="1:8" hidden="1" x14ac:dyDescent="0.2">
      <c r="A138" s="10">
        <f t="shared" si="17"/>
        <v>2016</v>
      </c>
      <c r="B138" t="s">
        <v>11</v>
      </c>
      <c r="C138" s="57">
        <f>Indeks!H139</f>
        <v>106.33366536060261</v>
      </c>
      <c r="D138" s="108">
        <f t="shared" si="16"/>
        <v>-5.7827467446242183E-4</v>
      </c>
      <c r="E138" s="108"/>
      <c r="F138" s="108"/>
      <c r="G138" s="108"/>
      <c r="H138" s="57"/>
    </row>
    <row r="139" spans="1:8" hidden="1" x14ac:dyDescent="0.2">
      <c r="A139" s="10">
        <f t="shared" si="17"/>
        <v>2016</v>
      </c>
      <c r="B139" t="s">
        <v>12</v>
      </c>
      <c r="C139" s="57">
        <f>Indeks!H140</f>
        <v>107.00406949674672</v>
      </c>
      <c r="D139" s="108">
        <f t="shared" si="16"/>
        <v>6.3047214056866675E-3</v>
      </c>
      <c r="E139" s="108"/>
      <c r="F139" s="108"/>
      <c r="G139" s="108"/>
      <c r="H139" s="57"/>
    </row>
    <row r="140" spans="1:8" hidden="1" x14ac:dyDescent="0.2">
      <c r="A140" s="12">
        <f t="shared" si="17"/>
        <v>2016</v>
      </c>
      <c r="B140" s="13" t="s">
        <v>13</v>
      </c>
      <c r="C140" s="103">
        <f>Indeks!H141</f>
        <v>106.93461364985474</v>
      </c>
      <c r="D140" s="66">
        <f t="shared" si="16"/>
        <v>-6.4909537757435831E-4</v>
      </c>
      <c r="E140" s="66">
        <f>(SUM(C138:C140)-SUM(C135:C137))/SUM(C135:C137)</f>
        <v>-3.0973702299841046E-3</v>
      </c>
      <c r="F140" s="66">
        <f>(SUM(C135:C140)-SUM(C129:C134))/SUM(C129:C134)</f>
        <v>-1.2618912793391996E-2</v>
      </c>
      <c r="G140" s="66"/>
      <c r="H140" s="103"/>
    </row>
    <row r="141" spans="1:8" hidden="1" x14ac:dyDescent="0.2">
      <c r="A141" s="17">
        <f t="shared" si="17"/>
        <v>2016</v>
      </c>
      <c r="B141" s="22" t="s">
        <v>30</v>
      </c>
      <c r="C141" s="24">
        <f>Indeks!H142</f>
        <v>107.71403946693806</v>
      </c>
      <c r="D141" s="111">
        <f t="shared" si="16"/>
        <v>7.2888075290145349E-3</v>
      </c>
      <c r="E141" s="111"/>
      <c r="F141" s="111"/>
      <c r="G141" s="111"/>
      <c r="H141" s="24"/>
    </row>
    <row r="142" spans="1:8" hidden="1" x14ac:dyDescent="0.2">
      <c r="A142" s="10">
        <f t="shared" si="17"/>
        <v>2016</v>
      </c>
      <c r="B142" t="s">
        <v>14</v>
      </c>
      <c r="C142" s="57">
        <f>Indeks!H143</f>
        <v>108.09652584565558</v>
      </c>
      <c r="D142" s="108">
        <f t="shared" si="16"/>
        <v>3.5509426682945743E-3</v>
      </c>
      <c r="E142" s="108"/>
      <c r="F142" s="108"/>
      <c r="G142" s="108"/>
      <c r="H142" s="57"/>
    </row>
    <row r="143" spans="1:8" hidden="1" x14ac:dyDescent="0.2">
      <c r="A143" s="12">
        <f t="shared" si="17"/>
        <v>2016</v>
      </c>
      <c r="B143" s="13" t="s">
        <v>15</v>
      </c>
      <c r="C143" s="103">
        <f>Indeks!H144</f>
        <v>107.66155947609626</v>
      </c>
      <c r="D143" s="66">
        <f t="shared" si="16"/>
        <v>-4.0238700194711275E-3</v>
      </c>
      <c r="E143" s="66">
        <f>(SUM(C141:C143)-SUM(C138:C140))/SUM(C138:C140)</f>
        <v>9.9907978206674186E-3</v>
      </c>
      <c r="F143" s="66"/>
      <c r="G143" s="66"/>
      <c r="H143" s="103"/>
    </row>
    <row r="144" spans="1:8" hidden="1" x14ac:dyDescent="0.2">
      <c r="A144" s="10">
        <f t="shared" si="17"/>
        <v>2016</v>
      </c>
      <c r="B144" t="s">
        <v>16</v>
      </c>
      <c r="C144" s="57">
        <f>Indeks!H145</f>
        <v>107.62900109168257</v>
      </c>
      <c r="D144" s="108">
        <f t="shared" si="16"/>
        <v>-3.0241420031556306E-4</v>
      </c>
      <c r="E144" s="108"/>
      <c r="F144" s="108"/>
      <c r="G144" s="108"/>
      <c r="H144" s="57"/>
    </row>
    <row r="145" spans="1:8" hidden="1" x14ac:dyDescent="0.2">
      <c r="A145" s="10">
        <f t="shared" si="17"/>
        <v>2016</v>
      </c>
      <c r="B145" t="s">
        <v>17</v>
      </c>
      <c r="C145" s="57">
        <f>Indeks!H146</f>
        <v>108.00141321946754</v>
      </c>
      <c r="D145" s="108">
        <f t="shared" si="16"/>
        <v>3.4601466519951613E-3</v>
      </c>
      <c r="E145" s="108"/>
      <c r="F145" s="108"/>
      <c r="G145" s="108"/>
      <c r="H145" s="57"/>
    </row>
    <row r="146" spans="1:8" ht="13.5" hidden="1" thickBot="1" x14ac:dyDescent="0.25">
      <c r="A146" s="30">
        <f t="shared" si="17"/>
        <v>2016</v>
      </c>
      <c r="B146" s="31" t="s">
        <v>18</v>
      </c>
      <c r="C146" s="99">
        <f>Indeks!H147</f>
        <v>108.91982850502217</v>
      </c>
      <c r="D146" s="102">
        <f t="shared" si="16"/>
        <v>8.5037339621504456E-3</v>
      </c>
      <c r="E146" s="102">
        <f>(SUM(C144:C146)-SUM(C141:C143))/SUM(C141:C143)</f>
        <v>3.3329549746726299E-3</v>
      </c>
      <c r="F146" s="102">
        <f>(SUM(C141:C146)-SUM(C135:C140))/SUM(C135:C140)</f>
        <v>1.0104730210948605E-2</v>
      </c>
      <c r="G146" s="102">
        <f>(SUM(C135:C146)-SUM(C123:C134))/SUM(C123:C134)</f>
        <v>-5.7015773791027789E-3</v>
      </c>
      <c r="H146" s="99">
        <f>(C135+C136+C137+C138+C139+C140+C141+C142+C143+C144+C145+C146)/12</f>
        <v>107.46351240009544</v>
      </c>
    </row>
    <row r="147" spans="1:8" hidden="1" x14ac:dyDescent="0.2">
      <c r="A147" s="2">
        <v>2017</v>
      </c>
      <c r="B147" t="s">
        <v>8</v>
      </c>
      <c r="C147" s="104">
        <f>Indeks!H148</f>
        <v>108.82413829511057</v>
      </c>
      <c r="D147" s="113">
        <f t="shared" ref="D147:D158" si="18">(C147-C146)/C146</f>
        <v>-8.7853801484073107E-4</v>
      </c>
      <c r="E147" s="113"/>
      <c r="F147" s="113"/>
      <c r="G147" s="113"/>
      <c r="H147" s="104"/>
    </row>
    <row r="148" spans="1:8" hidden="1" x14ac:dyDescent="0.2">
      <c r="A148" s="10">
        <f>A147</f>
        <v>2017</v>
      </c>
      <c r="B148" t="s">
        <v>9</v>
      </c>
      <c r="C148" s="57">
        <f>Indeks!H149</f>
        <v>109.63471583497558</v>
      </c>
      <c r="D148" s="108">
        <f t="shared" si="18"/>
        <v>7.4485086908464594E-3</v>
      </c>
      <c r="E148" s="108"/>
      <c r="F148" s="108"/>
      <c r="G148" s="108"/>
      <c r="H148" s="57"/>
    </row>
    <row r="149" spans="1:8" hidden="1" x14ac:dyDescent="0.2">
      <c r="A149" s="12">
        <f t="shared" ref="A149:A158" si="19">A148</f>
        <v>2017</v>
      </c>
      <c r="B149" s="13" t="s">
        <v>10</v>
      </c>
      <c r="C149" s="103">
        <f>Indeks!H150</f>
        <v>110.17791280294462</v>
      </c>
      <c r="D149" s="66">
        <f t="shared" si="18"/>
        <v>4.9546073415894058E-3</v>
      </c>
      <c r="E149" s="66">
        <f>(SUM(C147:C149)-SUM(C144:C146))/SUM(C144:C146)</f>
        <v>1.2591345122404079E-2</v>
      </c>
      <c r="F149" s="66"/>
      <c r="G149" s="66"/>
      <c r="H149" s="103"/>
    </row>
    <row r="150" spans="1:8" hidden="1" x14ac:dyDescent="0.2">
      <c r="A150" s="10">
        <f t="shared" si="19"/>
        <v>2017</v>
      </c>
      <c r="B150" t="s">
        <v>11</v>
      </c>
      <c r="C150" s="57">
        <f>Indeks!H151</f>
        <v>110.18666840076489</v>
      </c>
      <c r="D150" s="108">
        <f t="shared" si="18"/>
        <v>7.9467813443954505E-5</v>
      </c>
      <c r="E150" s="108"/>
      <c r="F150" s="108"/>
      <c r="G150" s="108"/>
      <c r="H150" s="57"/>
    </row>
    <row r="151" spans="1:8" hidden="1" x14ac:dyDescent="0.2">
      <c r="A151" s="10">
        <f t="shared" si="19"/>
        <v>2017</v>
      </c>
      <c r="B151" t="s">
        <v>12</v>
      </c>
      <c r="C151" s="57">
        <f>Indeks!H152</f>
        <v>109.81782942046338</v>
      </c>
      <c r="D151" s="108">
        <f t="shared" si="18"/>
        <v>-3.3474011480225845E-3</v>
      </c>
      <c r="E151" s="108"/>
      <c r="F151" s="108"/>
      <c r="G151" s="108"/>
      <c r="H151" s="57"/>
    </row>
    <row r="152" spans="1:8" hidden="1" x14ac:dyDescent="0.2">
      <c r="A152" s="12">
        <f t="shared" si="19"/>
        <v>2017</v>
      </c>
      <c r="B152" s="13" t="s">
        <v>13</v>
      </c>
      <c r="C152" s="103">
        <f>Indeks!H153</f>
        <v>110.22833861979277</v>
      </c>
      <c r="D152" s="66">
        <f t="shared" si="18"/>
        <v>3.7380924527077616E-3</v>
      </c>
      <c r="E152" s="66">
        <f>(SUM(C150:C152)-SUM(C147:C149))/SUM(C147:C149)</f>
        <v>4.8566370795497535E-3</v>
      </c>
      <c r="F152" s="66">
        <f>(SUM(C147:C152)-SUM(C141:C146))/SUM(C141:C146)</f>
        <v>1.6738983577498562E-2</v>
      </c>
      <c r="G152" s="66"/>
      <c r="H152" s="103"/>
    </row>
    <row r="153" spans="1:8" hidden="1" x14ac:dyDescent="0.2">
      <c r="A153" s="17">
        <f t="shared" si="19"/>
        <v>2017</v>
      </c>
      <c r="B153" s="22" t="s">
        <v>30</v>
      </c>
      <c r="C153" s="24">
        <f>Indeks!H154</f>
        <v>109.75058594376397</v>
      </c>
      <c r="D153" s="111">
        <f t="shared" si="18"/>
        <v>-4.334209169900469E-3</v>
      </c>
      <c r="E153" s="111"/>
      <c r="F153" s="111"/>
      <c r="G153" s="111"/>
      <c r="H153" s="24"/>
    </row>
    <row r="154" spans="1:8" hidden="1" x14ac:dyDescent="0.2">
      <c r="A154" s="10">
        <f t="shared" si="19"/>
        <v>2017</v>
      </c>
      <c r="B154" t="s">
        <v>14</v>
      </c>
      <c r="C154" s="57">
        <f>Indeks!H155</f>
        <v>109.14748480530514</v>
      </c>
      <c r="D154" s="108">
        <f t="shared" si="18"/>
        <v>-5.4951974358283017E-3</v>
      </c>
      <c r="E154" s="108"/>
      <c r="F154" s="108"/>
      <c r="G154" s="108"/>
      <c r="H154" s="57"/>
    </row>
    <row r="155" spans="1:8" hidden="1" x14ac:dyDescent="0.2">
      <c r="A155" s="12">
        <f t="shared" si="19"/>
        <v>2017</v>
      </c>
      <c r="B155" s="13" t="s">
        <v>15</v>
      </c>
      <c r="C155" s="103">
        <f>Indeks!H156</f>
        <v>109.22685315140764</v>
      </c>
      <c r="D155" s="66">
        <f t="shared" si="18"/>
        <v>7.2716605649753463E-4</v>
      </c>
      <c r="E155" s="66">
        <f>(SUM(C153:C155)-SUM(C150:C152))/SUM(C150:C152)</f>
        <v>-6.3831100603491146E-3</v>
      </c>
      <c r="F155" s="66"/>
      <c r="G155" s="66"/>
      <c r="H155" s="103"/>
    </row>
    <row r="156" spans="1:8" hidden="1" x14ac:dyDescent="0.2">
      <c r="A156" s="10">
        <f t="shared" si="19"/>
        <v>2017</v>
      </c>
      <c r="B156" t="s">
        <v>16</v>
      </c>
      <c r="C156" s="57">
        <f>Indeks!H157</f>
        <v>109.57887653833217</v>
      </c>
      <c r="D156" s="108">
        <f t="shared" si="18"/>
        <v>3.2228648612311708E-3</v>
      </c>
      <c r="E156" s="108"/>
      <c r="F156" s="108"/>
      <c r="G156" s="108"/>
      <c r="H156" s="57"/>
    </row>
    <row r="157" spans="1:8" hidden="1" x14ac:dyDescent="0.2">
      <c r="A157" s="10">
        <f t="shared" si="19"/>
        <v>2017</v>
      </c>
      <c r="B157" t="s">
        <v>17</v>
      </c>
      <c r="C157" s="57">
        <f>Indeks!H158</f>
        <v>110.02306842053328</v>
      </c>
      <c r="D157" s="108">
        <f t="shared" si="18"/>
        <v>4.05362690541663E-3</v>
      </c>
      <c r="E157" s="108"/>
      <c r="F157" s="108"/>
      <c r="G157" s="108"/>
      <c r="H157" s="57"/>
    </row>
    <row r="158" spans="1:8" ht="13.5" hidden="1" thickBot="1" x14ac:dyDescent="0.25">
      <c r="A158" s="30">
        <f t="shared" si="19"/>
        <v>2017</v>
      </c>
      <c r="B158" s="31" t="s">
        <v>18</v>
      </c>
      <c r="C158" s="99">
        <f>Indeks!H159</f>
        <v>110.56703978888491</v>
      </c>
      <c r="D158" s="102">
        <f t="shared" si="18"/>
        <v>4.9441574040859481E-3</v>
      </c>
      <c r="E158" s="102">
        <f>(SUM(C156:C158)-SUM(C153:C155))/SUM(C153:C155)</f>
        <v>6.2295202174084017E-3</v>
      </c>
      <c r="F158" s="102">
        <f>(SUM(C153:C158)-SUM(C147:C152))/SUM(C147:C152)</f>
        <v>-8.7376124634755816E-4</v>
      </c>
      <c r="G158" s="102">
        <f>(SUM(C147:C158)-SUM(C135:C146))/SUM(C135:C146)</f>
        <v>2.1403670421618313E-2</v>
      </c>
      <c r="H158" s="99">
        <f>(C147+C148+C149+C150+C151+C152+C153+C154+C155+C156+C157+C158)/12</f>
        <v>109.76362600185657</v>
      </c>
    </row>
    <row r="159" spans="1:8" hidden="1" x14ac:dyDescent="0.2">
      <c r="A159" s="2">
        <v>2018</v>
      </c>
      <c r="B159" t="s">
        <v>8</v>
      </c>
      <c r="C159" s="104">
        <f>Indeks!H162</f>
        <v>124.82893789570576</v>
      </c>
      <c r="D159" s="113">
        <f>(C159-C159)/C158</f>
        <v>0</v>
      </c>
      <c r="E159" s="113"/>
      <c r="F159" s="113"/>
      <c r="G159" s="113"/>
      <c r="H159" s="104"/>
    </row>
    <row r="160" spans="1:8" hidden="1" x14ac:dyDescent="0.2">
      <c r="A160" s="10">
        <f>A159</f>
        <v>2018</v>
      </c>
      <c r="B160" t="s">
        <v>9</v>
      </c>
      <c r="C160" s="57">
        <f>Indeks!H163</f>
        <v>123.74219532939689</v>
      </c>
      <c r="D160" s="108">
        <f t="shared" ref="D160:D170" si="20">(C160-C159)/C159</f>
        <v>-8.7058544647463185E-3</v>
      </c>
      <c r="E160" s="108"/>
      <c r="F160" s="108"/>
      <c r="G160" s="108"/>
      <c r="H160" s="57"/>
    </row>
    <row r="161" spans="1:8" hidden="1" x14ac:dyDescent="0.2">
      <c r="A161" s="12">
        <f t="shared" ref="A161:A170" si="21">A160</f>
        <v>2018</v>
      </c>
      <c r="B161" s="13" t="s">
        <v>10</v>
      </c>
      <c r="C161" s="103">
        <f>Indeks!H164</f>
        <v>124.90914867480056</v>
      </c>
      <c r="D161" s="66">
        <f t="shared" si="20"/>
        <v>9.4305207879760451E-3</v>
      </c>
      <c r="E161" s="66">
        <f>(SUM(C159:C161)-SUM(C159:C161))/SUM(C156:C158)</f>
        <v>0</v>
      </c>
      <c r="F161" s="66"/>
      <c r="G161" s="66"/>
      <c r="H161" s="103"/>
    </row>
    <row r="162" spans="1:8" hidden="1" x14ac:dyDescent="0.2">
      <c r="A162" s="10">
        <f t="shared" si="21"/>
        <v>2018</v>
      </c>
      <c r="B162" t="s">
        <v>11</v>
      </c>
      <c r="C162" s="57">
        <f>Indeks!H165</f>
        <v>125.02577440782331</v>
      </c>
      <c r="D162" s="108">
        <f t="shared" si="20"/>
        <v>9.3368447595762168E-4</v>
      </c>
      <c r="E162" s="108"/>
      <c r="F162" s="108"/>
      <c r="G162" s="108"/>
      <c r="H162" s="57"/>
    </row>
    <row r="163" spans="1:8" hidden="1" x14ac:dyDescent="0.2">
      <c r="A163" s="10">
        <f t="shared" si="21"/>
        <v>2018</v>
      </c>
      <c r="B163" t="s">
        <v>12</v>
      </c>
      <c r="C163" s="57">
        <f>Indeks!H166</f>
        <v>124.64834517480217</v>
      </c>
      <c r="D163" s="108">
        <f t="shared" si="20"/>
        <v>-3.0188113995598281E-3</v>
      </c>
      <c r="E163" s="108"/>
      <c r="F163" s="108"/>
      <c r="G163" s="108"/>
      <c r="H163" s="57"/>
    </row>
    <row r="164" spans="1:8" hidden="1" x14ac:dyDescent="0.2">
      <c r="A164" s="12">
        <f t="shared" si="21"/>
        <v>2018</v>
      </c>
      <c r="B164" s="13" t="s">
        <v>13</v>
      </c>
      <c r="C164" s="103">
        <f>Indeks!H167</f>
        <v>125.78367777315927</v>
      </c>
      <c r="D164" s="66">
        <f t="shared" si="20"/>
        <v>9.1082845645880615E-3</v>
      </c>
      <c r="E164" s="66">
        <f>(SUM(C162:C164)-SUM(C159:C161))/SUM(C159:C161)</f>
        <v>5.2948322889279755E-3</v>
      </c>
      <c r="F164" s="66">
        <f>(SUM(C159:C164)-SUM(C159:C164))/SUM(C153:C158)</f>
        <v>0</v>
      </c>
      <c r="G164" s="66"/>
      <c r="H164" s="103"/>
    </row>
    <row r="165" spans="1:8" hidden="1" x14ac:dyDescent="0.2">
      <c r="A165" s="17">
        <f t="shared" si="21"/>
        <v>2018</v>
      </c>
      <c r="B165" s="202" t="s">
        <v>30</v>
      </c>
      <c r="C165" s="203">
        <f>Indeks!H168</f>
        <v>126.21192405818607</v>
      </c>
      <c r="D165" s="204">
        <f t="shared" si="20"/>
        <v>3.404625247157342E-3</v>
      </c>
      <c r="E165" s="204"/>
      <c r="F165" s="204"/>
      <c r="G165" s="204"/>
      <c r="H165" s="205"/>
    </row>
    <row r="166" spans="1:8" hidden="1" x14ac:dyDescent="0.2">
      <c r="A166" s="10">
        <f t="shared" si="21"/>
        <v>2018</v>
      </c>
      <c r="B166" t="s">
        <v>14</v>
      </c>
      <c r="C166" s="57">
        <f>Indeks!H169</f>
        <v>126.20796379995447</v>
      </c>
      <c r="D166" s="108">
        <f t="shared" si="20"/>
        <v>-3.1377845327633062E-5</v>
      </c>
      <c r="E166" s="108"/>
      <c r="F166" s="108"/>
      <c r="G166" s="108"/>
      <c r="H166" s="57"/>
    </row>
    <row r="167" spans="1:8" hidden="1" x14ac:dyDescent="0.2">
      <c r="A167" s="12">
        <f t="shared" si="21"/>
        <v>2018</v>
      </c>
      <c r="B167" s="13" t="s">
        <v>15</v>
      </c>
      <c r="C167" s="103">
        <f>Indeks!H170</f>
        <v>128.35186662497551</v>
      </c>
      <c r="D167" s="66">
        <f t="shared" si="20"/>
        <v>1.698706452802955E-2</v>
      </c>
      <c r="E167" s="66">
        <f>(SUM(C165:C167)-SUM(C162:C164))/SUM(C162:C164)</f>
        <v>1.4153274122299827E-2</v>
      </c>
      <c r="F167" s="66"/>
      <c r="G167" s="66"/>
      <c r="H167" s="103"/>
    </row>
    <row r="168" spans="1:8" hidden="1" x14ac:dyDescent="0.2">
      <c r="A168" s="10">
        <f t="shared" si="21"/>
        <v>2018</v>
      </c>
      <c r="B168" t="s">
        <v>16</v>
      </c>
      <c r="C168" s="57">
        <f>Indeks!H171</f>
        <v>129.08749106387779</v>
      </c>
      <c r="D168" s="108">
        <f t="shared" si="20"/>
        <v>5.7313107962166186E-3</v>
      </c>
      <c r="E168" s="108"/>
      <c r="F168" s="108"/>
      <c r="G168" s="108"/>
      <c r="H168" s="57"/>
    </row>
    <row r="169" spans="1:8" hidden="1" x14ac:dyDescent="0.2">
      <c r="A169" s="10">
        <f t="shared" si="21"/>
        <v>2018</v>
      </c>
      <c r="B169" t="s">
        <v>17</v>
      </c>
      <c r="C169" s="57">
        <f>Indeks!H172</f>
        <v>129.38873083388705</v>
      </c>
      <c r="D169" s="108">
        <f t="shared" si="20"/>
        <v>2.3336093027030388E-3</v>
      </c>
      <c r="E169" s="108"/>
      <c r="F169" s="108"/>
      <c r="G169" s="108"/>
      <c r="H169" s="57"/>
    </row>
    <row r="170" spans="1:8" ht="13.5" hidden="1" thickBot="1" x14ac:dyDescent="0.25">
      <c r="A170" s="30">
        <f t="shared" si="21"/>
        <v>2018</v>
      </c>
      <c r="B170" s="31" t="s">
        <v>18</v>
      </c>
      <c r="C170" s="103">
        <f>Indeks!H173</f>
        <v>130.06188108751115</v>
      </c>
      <c r="D170" s="66">
        <f t="shared" si="20"/>
        <v>5.2025415914181156E-3</v>
      </c>
      <c r="E170" s="66">
        <f>(SUM(C168:C170)-SUM(C165:C167))/SUM(C165:C167)</f>
        <v>2.0396335628157257E-2</v>
      </c>
      <c r="F170" s="66">
        <f>(SUM(C165:C170)-SUM(C159:C164))/SUM(C159:C164)</f>
        <v>2.7200884528331085E-2</v>
      </c>
      <c r="G170" s="66">
        <f>(SUM(C159:C170)-SUM(C159:C170))/SUM(C147:C158)</f>
        <v>0</v>
      </c>
      <c r="H170" s="103">
        <f>(C159+C160+C161+C162+C163+C164+C165+C166+C167+C168+C169+C170)/12</f>
        <v>126.52066139367336</v>
      </c>
    </row>
    <row r="171" spans="1:8" hidden="1" x14ac:dyDescent="0.2">
      <c r="A171" s="2">
        <v>2019</v>
      </c>
      <c r="B171" t="s">
        <v>8</v>
      </c>
      <c r="C171" s="104">
        <f>Indeks!H174</f>
        <v>130.33083367679788</v>
      </c>
      <c r="D171" s="113">
        <f t="shared" ref="D171:D182" si="22">(C171-C170)/C170</f>
        <v>2.067881742428159E-3</v>
      </c>
      <c r="E171" s="113"/>
      <c r="F171" s="113"/>
      <c r="G171" s="113"/>
      <c r="H171" s="104"/>
    </row>
    <row r="172" spans="1:8" hidden="1" x14ac:dyDescent="0.2">
      <c r="A172" s="10">
        <f>A171</f>
        <v>2019</v>
      </c>
      <c r="B172" t="s">
        <v>9</v>
      </c>
      <c r="C172" s="57">
        <f>Indeks!H175</f>
        <v>128.85723892548819</v>
      </c>
      <c r="D172" s="108">
        <f t="shared" si="22"/>
        <v>-1.1306570438765073E-2</v>
      </c>
      <c r="E172" s="108"/>
      <c r="F172" s="108"/>
      <c r="G172" s="108"/>
      <c r="H172" s="57"/>
    </row>
    <row r="173" spans="1:8" hidden="1" x14ac:dyDescent="0.2">
      <c r="A173" s="12">
        <f t="shared" ref="A173:A182" si="23">A172</f>
        <v>2019</v>
      </c>
      <c r="B173" s="13" t="s">
        <v>10</v>
      </c>
      <c r="C173" s="103">
        <f>Indeks!H176</f>
        <v>128.39822129835932</v>
      </c>
      <c r="D173" s="66">
        <f t="shared" si="22"/>
        <v>-3.5622183973249648E-3</v>
      </c>
      <c r="E173" s="66">
        <f>(SUM(C171:C173)-SUM(C168:C170))/SUM(C168:C170)</f>
        <v>-2.4497187722839131E-3</v>
      </c>
      <c r="F173" s="66"/>
      <c r="G173" s="66"/>
      <c r="H173" s="103"/>
    </row>
    <row r="174" spans="1:8" hidden="1" x14ac:dyDescent="0.2">
      <c r="A174" s="10">
        <f t="shared" si="23"/>
        <v>2019</v>
      </c>
      <c r="B174" t="s">
        <v>11</v>
      </c>
      <c r="C174" s="57">
        <f>Indeks!H177</f>
        <v>129.78604459101641</v>
      </c>
      <c r="D174" s="108">
        <f t="shared" si="22"/>
        <v>1.0808742353464539E-2</v>
      </c>
      <c r="E174" s="108"/>
      <c r="F174" s="108"/>
      <c r="G174" s="108"/>
      <c r="H174" s="57"/>
    </row>
    <row r="175" spans="1:8" hidden="1" x14ac:dyDescent="0.2">
      <c r="A175" s="10">
        <f t="shared" si="23"/>
        <v>2019</v>
      </c>
      <c r="B175" t="s">
        <v>12</v>
      </c>
      <c r="C175" s="57">
        <f>Indeks!H178</f>
        <v>129.60215191534192</v>
      </c>
      <c r="D175" s="108">
        <f t="shared" si="22"/>
        <v>-1.4168909781785135E-3</v>
      </c>
      <c r="E175" s="108"/>
      <c r="F175" s="108"/>
      <c r="G175" s="108"/>
      <c r="H175" s="57"/>
    </row>
    <row r="176" spans="1:8" hidden="1" x14ac:dyDescent="0.2">
      <c r="A176" s="12">
        <f t="shared" si="23"/>
        <v>2019</v>
      </c>
      <c r="B176" s="13" t="s">
        <v>13</v>
      </c>
      <c r="C176" s="103">
        <f>Indeks!H179</f>
        <v>130.15967561602997</v>
      </c>
      <c r="D176" s="66">
        <f t="shared" si="22"/>
        <v>4.301808978081122E-3</v>
      </c>
      <c r="E176" s="66">
        <f>(SUM(C174:C176)-SUM(C171:C173))/SUM(C171:C173)</f>
        <v>5.0610102901258577E-3</v>
      </c>
      <c r="F176" s="66">
        <f>(SUM(C171:C176)-SUM(C165:C170))/SUM(C165:C170)</f>
        <v>1.0170555438337336E-2</v>
      </c>
      <c r="G176" s="66"/>
      <c r="H176" s="103"/>
    </row>
    <row r="177" spans="1:8" hidden="1" x14ac:dyDescent="0.2">
      <c r="A177" s="17">
        <f t="shared" si="23"/>
        <v>2019</v>
      </c>
      <c r="B177" s="202" t="s">
        <v>30</v>
      </c>
      <c r="C177" s="203">
        <f>Indeks!H180</f>
        <v>131.03215065216111</v>
      </c>
      <c r="D177" s="204">
        <f t="shared" si="22"/>
        <v>6.7031131723540062E-3</v>
      </c>
      <c r="E177" s="204"/>
      <c r="F177" s="204"/>
      <c r="G177" s="204"/>
      <c r="H177" s="205"/>
    </row>
    <row r="178" spans="1:8" hidden="1" x14ac:dyDescent="0.2">
      <c r="A178" s="10">
        <f t="shared" si="23"/>
        <v>2019</v>
      </c>
      <c r="B178" t="s">
        <v>14</v>
      </c>
      <c r="C178" s="57">
        <f>Indeks!H181</f>
        <v>128.58704276679097</v>
      </c>
      <c r="D178" s="108">
        <f t="shared" si="22"/>
        <v>-1.8660365972782783E-2</v>
      </c>
      <c r="E178" s="108"/>
      <c r="F178" s="108"/>
      <c r="G178" s="108"/>
      <c r="H178" s="57"/>
    </row>
    <row r="179" spans="1:8" hidden="1" x14ac:dyDescent="0.2">
      <c r="A179" s="12">
        <f t="shared" si="23"/>
        <v>2019</v>
      </c>
      <c r="B179" s="13" t="s">
        <v>15</v>
      </c>
      <c r="C179" s="103">
        <f>Indeks!H182</f>
        <v>129.13867354557129</v>
      </c>
      <c r="D179" s="66">
        <f t="shared" si="22"/>
        <v>4.2899406262944728E-3</v>
      </c>
      <c r="E179" s="66">
        <f>(SUM(C177:C179)-SUM(C174:C176))/SUM(C174:C176)</f>
        <v>-2.0280053220691737E-3</v>
      </c>
      <c r="F179" s="66"/>
      <c r="G179" s="66"/>
      <c r="H179" s="103"/>
    </row>
    <row r="180" spans="1:8" hidden="1" x14ac:dyDescent="0.2">
      <c r="A180" s="10">
        <f t="shared" si="23"/>
        <v>2019</v>
      </c>
      <c r="B180" t="s">
        <v>16</v>
      </c>
      <c r="C180" s="57">
        <f>Indeks!H183</f>
        <v>129.47582704490443</v>
      </c>
      <c r="D180" s="108">
        <f t="shared" si="22"/>
        <v>2.6107864520860512E-3</v>
      </c>
      <c r="E180" s="108"/>
      <c r="F180" s="108"/>
      <c r="G180" s="108"/>
      <c r="H180" s="57"/>
    </row>
    <row r="181" spans="1:8" hidden="1" x14ac:dyDescent="0.2">
      <c r="A181" s="10">
        <f t="shared" si="23"/>
        <v>2019</v>
      </c>
      <c r="B181" t="s">
        <v>17</v>
      </c>
      <c r="C181" s="57">
        <f>Indeks!H184</f>
        <v>129.72793404944304</v>
      </c>
      <c r="D181" s="108">
        <f t="shared" si="22"/>
        <v>1.9471356954620272E-3</v>
      </c>
      <c r="E181" s="108"/>
      <c r="F181" s="108"/>
      <c r="G181" s="108"/>
      <c r="H181" s="57"/>
    </row>
    <row r="182" spans="1:8" ht="13.5" hidden="1" thickBot="1" x14ac:dyDescent="0.25">
      <c r="A182" s="30">
        <f t="shared" si="23"/>
        <v>2019</v>
      </c>
      <c r="B182" s="31" t="s">
        <v>18</v>
      </c>
      <c r="C182" s="103">
        <f>Indeks!H185</f>
        <v>130.26280375327551</v>
      </c>
      <c r="D182" s="66">
        <f t="shared" si="22"/>
        <v>4.1230110365329331E-3</v>
      </c>
      <c r="E182" s="66">
        <f>(SUM(C180:C182)-SUM(C177:C179))/SUM(C177:C179)</f>
        <v>1.8229801717794597E-3</v>
      </c>
      <c r="F182" s="66">
        <f>(SUM(C177:C182)-SUM(C171:C176))/SUM(C171:C176)</f>
        <v>1.4029312270391965E-3</v>
      </c>
      <c r="G182" s="66">
        <f>(SUM(C171:C182)-SUM(C159:C170))/SUM(C159:C170)</f>
        <v>2.4443083513206211E-2</v>
      </c>
      <c r="H182" s="103">
        <f>(C171+C172+C173+C174+C175+C176+C177+C178+C179+C180+C181+C182)/12</f>
        <v>129.613216486265</v>
      </c>
    </row>
    <row r="183" spans="1:8" hidden="1" x14ac:dyDescent="0.2">
      <c r="A183" s="2">
        <v>2020</v>
      </c>
      <c r="B183" t="s">
        <v>8</v>
      </c>
      <c r="C183" s="104">
        <f>Indeks!H186</f>
        <v>130.01197764945698</v>
      </c>
      <c r="D183" s="113">
        <f t="shared" ref="D183:D194" si="24">(C183-C182)/C182</f>
        <v>-1.9255389611726995E-3</v>
      </c>
      <c r="E183" s="113"/>
      <c r="F183" s="113"/>
      <c r="G183" s="113"/>
      <c r="H183" s="104"/>
    </row>
    <row r="184" spans="1:8" hidden="1" x14ac:dyDescent="0.2">
      <c r="A184" s="10">
        <f>A183</f>
        <v>2020</v>
      </c>
      <c r="B184" t="s">
        <v>9</v>
      </c>
      <c r="C184" s="57">
        <f>Indeks!H187</f>
        <v>130.27385546600439</v>
      </c>
      <c r="D184" s="108">
        <f t="shared" si="24"/>
        <v>2.0142591573639136E-3</v>
      </c>
      <c r="E184" s="108"/>
      <c r="F184" s="108"/>
      <c r="G184" s="108"/>
      <c r="H184" s="57"/>
    </row>
    <row r="185" spans="1:8" hidden="1" x14ac:dyDescent="0.2">
      <c r="A185" s="12">
        <f t="shared" ref="A185:A194" si="25">A184</f>
        <v>2020</v>
      </c>
      <c r="B185" s="13" t="s">
        <v>10</v>
      </c>
      <c r="C185" s="103">
        <f>Indeks!H188</f>
        <v>132.54137019078698</v>
      </c>
      <c r="D185" s="66">
        <f t="shared" si="24"/>
        <v>1.7405754337057332E-2</v>
      </c>
      <c r="E185" s="66">
        <f>(SUM(C183:C185)-SUM(C180:C182))/SUM(C180:C182)</f>
        <v>8.6288240428039446E-3</v>
      </c>
      <c r="F185" s="66"/>
      <c r="G185" s="66"/>
      <c r="H185" s="103"/>
    </row>
    <row r="186" spans="1:8" hidden="1" x14ac:dyDescent="0.2">
      <c r="A186" s="10">
        <f t="shared" si="25"/>
        <v>2020</v>
      </c>
      <c r="B186" t="s">
        <v>11</v>
      </c>
      <c r="C186" s="57">
        <f>Indeks!H189</f>
        <v>130.96306818084611</v>
      </c>
      <c r="D186" s="108">
        <f t="shared" si="24"/>
        <v>-1.1907995274750666E-2</v>
      </c>
      <c r="E186" s="108"/>
      <c r="F186" s="108"/>
      <c r="G186" s="108"/>
      <c r="H186" s="57"/>
    </row>
    <row r="187" spans="1:8" hidden="1" x14ac:dyDescent="0.2">
      <c r="A187" s="10">
        <f t="shared" si="25"/>
        <v>2020</v>
      </c>
      <c r="B187" t="s">
        <v>12</v>
      </c>
      <c r="C187" s="57">
        <f>Indeks!H190</f>
        <v>129.83531361392804</v>
      </c>
      <c r="D187" s="108">
        <f t="shared" si="24"/>
        <v>-8.611241188704908E-3</v>
      </c>
      <c r="E187" s="108"/>
      <c r="F187" s="108"/>
      <c r="G187" s="108"/>
      <c r="H187" s="57"/>
    </row>
    <row r="188" spans="1:8" hidden="1" x14ac:dyDescent="0.2">
      <c r="A188" s="12">
        <f t="shared" si="25"/>
        <v>2020</v>
      </c>
      <c r="B188" s="13" t="s">
        <v>13</v>
      </c>
      <c r="C188" s="103">
        <f>Indeks!H191</f>
        <v>126.96234043568393</v>
      </c>
      <c r="D188" s="66">
        <f t="shared" si="24"/>
        <v>-2.2127825614432158E-2</v>
      </c>
      <c r="E188" s="66">
        <f>(SUM(C186:C188)-SUM(C183:C185))/SUM(C183:C185)</f>
        <v>-1.2897480197776614E-2</v>
      </c>
      <c r="F188" s="66">
        <f>(SUM(C183:C188)-SUM(C177:C182))/SUM(C177:C182)</f>
        <v>3.0370335701958039E-3</v>
      </c>
      <c r="G188" s="66"/>
      <c r="H188" s="103"/>
    </row>
    <row r="189" spans="1:8" hidden="1" x14ac:dyDescent="0.2">
      <c r="A189" s="17">
        <f t="shared" si="25"/>
        <v>2020</v>
      </c>
      <c r="B189" s="202" t="s">
        <v>30</v>
      </c>
      <c r="C189" s="203">
        <f>Indeks!H192</f>
        <v>126.18225582763007</v>
      </c>
      <c r="D189" s="204">
        <f t="shared" si="24"/>
        <v>-6.1442204466057946E-3</v>
      </c>
      <c r="E189" s="204"/>
      <c r="F189" s="204"/>
      <c r="G189" s="204"/>
      <c r="H189" s="205"/>
    </row>
    <row r="190" spans="1:8" hidden="1" x14ac:dyDescent="0.2">
      <c r="A190" s="10">
        <f t="shared" si="25"/>
        <v>2020</v>
      </c>
      <c r="B190" t="s">
        <v>14</v>
      </c>
      <c r="C190" s="57">
        <f>Indeks!H193</f>
        <v>127.50470484520677</v>
      </c>
      <c r="D190" s="108">
        <f t="shared" si="24"/>
        <v>1.0480467391415312E-2</v>
      </c>
      <c r="E190" s="108"/>
      <c r="F190" s="108"/>
      <c r="G190" s="108"/>
      <c r="H190" s="57"/>
    </row>
    <row r="191" spans="1:8" hidden="1" x14ac:dyDescent="0.2">
      <c r="A191" s="12">
        <f t="shared" si="25"/>
        <v>2020</v>
      </c>
      <c r="B191" s="13" t="s">
        <v>15</v>
      </c>
      <c r="C191" s="103">
        <f>Indeks!H194</f>
        <v>128.71310088138165</v>
      </c>
      <c r="D191" s="66">
        <f t="shared" si="24"/>
        <v>9.4772662517974664E-3</v>
      </c>
      <c r="E191" s="66">
        <f>(SUM(C189:C191)-SUM(C186:C188))/SUM(C186:C188)</f>
        <v>-1.3824661366948866E-2</v>
      </c>
      <c r="F191" s="66"/>
      <c r="G191" s="66"/>
      <c r="H191" s="103"/>
    </row>
    <row r="192" spans="1:8" hidden="1" x14ac:dyDescent="0.2">
      <c r="A192" s="17">
        <f t="shared" si="25"/>
        <v>2020</v>
      </c>
      <c r="B192" s="18" t="s">
        <v>16</v>
      </c>
      <c r="C192" s="57">
        <f>Indeks!H195</f>
        <v>129.00770954287776</v>
      </c>
      <c r="D192" s="108">
        <f t="shared" si="24"/>
        <v>2.2888785949428427E-3</v>
      </c>
      <c r="E192" s="108"/>
      <c r="F192" s="108"/>
      <c r="G192" s="108"/>
      <c r="H192" s="57"/>
    </row>
    <row r="193" spans="1:8" hidden="1" x14ac:dyDescent="0.2">
      <c r="A193" s="10">
        <f t="shared" si="25"/>
        <v>2020</v>
      </c>
      <c r="B193" t="s">
        <v>17</v>
      </c>
      <c r="C193" s="57">
        <f>Indeks!H196</f>
        <v>128.90117095170592</v>
      </c>
      <c r="D193" s="108">
        <f t="shared" si="24"/>
        <v>-8.2583119682805501E-4</v>
      </c>
      <c r="E193" s="108"/>
      <c r="F193" s="108"/>
      <c r="G193" s="108"/>
      <c r="H193" s="57"/>
    </row>
    <row r="194" spans="1:8" ht="13.5" hidden="1" thickBot="1" x14ac:dyDescent="0.25">
      <c r="A194" s="30">
        <f t="shared" si="25"/>
        <v>2020</v>
      </c>
      <c r="B194" s="31" t="s">
        <v>18</v>
      </c>
      <c r="C194" s="103">
        <f>Indeks!H197</f>
        <v>128.3327492855731</v>
      </c>
      <c r="D194" s="66">
        <f t="shared" si="24"/>
        <v>-4.4097478861986868E-3</v>
      </c>
      <c r="E194" s="66">
        <f>(SUM(C192:C194)-SUM(C189:C191))/SUM(C189:C191)</f>
        <v>1.0045940396360637E-2</v>
      </c>
      <c r="F194" s="66">
        <f>(SUM(C189:C194)-SUM(C183:C188))/SUM(C183:C188)</f>
        <v>-1.5304149361671666E-2</v>
      </c>
      <c r="G194" s="66">
        <f>(SUM(C183:C194)-SUM(C171:C182))/SUM(C171:C182)</f>
        <v>-3.940558127642455E-3</v>
      </c>
      <c r="H194" s="103">
        <f>(C183+C184+C185+C186+C187+C188+C189+C190+C191+C192+C193+C194)/12</f>
        <v>129.10246807259017</v>
      </c>
    </row>
    <row r="195" spans="1:8" hidden="1" x14ac:dyDescent="0.2">
      <c r="A195" s="2">
        <v>2021</v>
      </c>
      <c r="B195" s="253" t="s">
        <v>8</v>
      </c>
      <c r="C195" s="254">
        <f>Indeks!H198</f>
        <v>129.14574686240405</v>
      </c>
      <c r="D195" s="255">
        <f t="shared" ref="D195:D206" si="26">(C195-C194)/C194</f>
        <v>6.3350748842902534E-3</v>
      </c>
      <c r="E195" s="255"/>
      <c r="F195" s="255"/>
      <c r="G195" s="255"/>
      <c r="H195" s="254"/>
    </row>
    <row r="196" spans="1:8" hidden="1" x14ac:dyDescent="0.2">
      <c r="A196" s="256">
        <f>A195</f>
        <v>2021</v>
      </c>
      <c r="B196" s="257" t="s">
        <v>9</v>
      </c>
      <c r="C196" s="258">
        <f>Indeks!H199</f>
        <v>130.13621118537159</v>
      </c>
      <c r="D196" s="259">
        <f t="shared" si="26"/>
        <v>7.6693530141787166E-3</v>
      </c>
      <c r="E196" s="259"/>
      <c r="F196" s="259"/>
      <c r="G196" s="259"/>
      <c r="H196" s="258"/>
    </row>
    <row r="197" spans="1:8" hidden="1" x14ac:dyDescent="0.2">
      <c r="A197" s="260">
        <f t="shared" ref="A197:A206" si="27">A196</f>
        <v>2021</v>
      </c>
      <c r="B197" s="261" t="s">
        <v>10</v>
      </c>
      <c r="C197" s="262">
        <f>Indeks!H200</f>
        <v>131.84898453595838</v>
      </c>
      <c r="D197" s="263">
        <f t="shared" si="26"/>
        <v>1.3161389401041028E-2</v>
      </c>
      <c r="E197" s="263">
        <f>(SUM(C195:C197)-SUM(C192:C194))/SUM(C192:C194)</f>
        <v>1.2658689345216793E-2</v>
      </c>
      <c r="F197" s="263"/>
      <c r="G197" s="263"/>
      <c r="H197" s="262"/>
    </row>
    <row r="198" spans="1:8" hidden="1" x14ac:dyDescent="0.2">
      <c r="A198" s="256">
        <f t="shared" si="27"/>
        <v>2021</v>
      </c>
      <c r="B198" s="264" t="s">
        <v>11</v>
      </c>
      <c r="C198" s="258">
        <f>Indeks!H201</f>
        <v>134.23984590165236</v>
      </c>
      <c r="D198" s="259">
        <f t="shared" si="26"/>
        <v>1.8133331660525106E-2</v>
      </c>
      <c r="E198" s="259"/>
      <c r="F198" s="259"/>
      <c r="G198" s="259"/>
      <c r="H198" s="258"/>
    </row>
    <row r="199" spans="1:8" hidden="1" x14ac:dyDescent="0.2">
      <c r="A199" s="266">
        <f t="shared" si="27"/>
        <v>2021</v>
      </c>
      <c r="B199" s="267" t="s">
        <v>12</v>
      </c>
      <c r="C199" s="268">
        <f>Indeks!H202</f>
        <v>135.89268628661833</v>
      </c>
      <c r="D199" s="269">
        <f t="shared" si="26"/>
        <v>1.2312591495202431E-2</v>
      </c>
      <c r="E199" s="269"/>
      <c r="F199" s="269"/>
      <c r="G199" s="269"/>
      <c r="H199" s="268"/>
    </row>
    <row r="200" spans="1:8" hidden="1" x14ac:dyDescent="0.2">
      <c r="A200" s="270">
        <f t="shared" si="27"/>
        <v>2021</v>
      </c>
      <c r="B200" s="271" t="s">
        <v>13</v>
      </c>
      <c r="C200" s="272">
        <f>Indeks!H203</f>
        <v>135.10863552588924</v>
      </c>
      <c r="D200" s="273">
        <f t="shared" si="26"/>
        <v>-5.7696317745563235E-3</v>
      </c>
      <c r="E200" s="273">
        <f>(SUM(C198:C200)-SUM(C195:C197))/SUM(C195:C197)</f>
        <v>3.6075450940333445E-2</v>
      </c>
      <c r="F200" s="273">
        <f>(SUM(C195:C200)-SUM(C189:C194))/SUM(C189:C194)</f>
        <v>3.6077172596997789E-2</v>
      </c>
      <c r="G200" s="273"/>
      <c r="H200" s="272"/>
    </row>
    <row r="201" spans="1:8" hidden="1" x14ac:dyDescent="0.2">
      <c r="A201" s="274">
        <f t="shared" si="27"/>
        <v>2021</v>
      </c>
      <c r="B201" s="275" t="s">
        <v>30</v>
      </c>
      <c r="C201" s="276">
        <f>Indeks!H204</f>
        <v>136.45974306767161</v>
      </c>
      <c r="D201" s="277">
        <f t="shared" si="26"/>
        <v>1.0000156811023916E-2</v>
      </c>
      <c r="E201" s="277"/>
      <c r="F201" s="277"/>
      <c r="G201" s="277"/>
      <c r="H201" s="278"/>
    </row>
    <row r="202" spans="1:8" hidden="1" x14ac:dyDescent="0.2">
      <c r="A202" s="256">
        <f t="shared" si="27"/>
        <v>2021</v>
      </c>
      <c r="B202" s="279" t="s">
        <v>14</v>
      </c>
      <c r="C202" s="258">
        <f>Indeks!H205</f>
        <v>136.66215614634447</v>
      </c>
      <c r="D202" s="259">
        <f t="shared" si="26"/>
        <v>1.4833171609628746E-3</v>
      </c>
      <c r="E202" s="259"/>
      <c r="F202" s="259"/>
      <c r="G202" s="259"/>
      <c r="H202" s="258"/>
    </row>
    <row r="203" spans="1:8" hidden="1" x14ac:dyDescent="0.2">
      <c r="A203" s="260">
        <f t="shared" si="27"/>
        <v>2021</v>
      </c>
      <c r="B203" s="280" t="s">
        <v>15</v>
      </c>
      <c r="C203" s="262">
        <f>Indeks!H206</f>
        <v>137.84699365313082</v>
      </c>
      <c r="D203" s="263">
        <f t="shared" si="26"/>
        <v>8.6698288699438488E-3</v>
      </c>
      <c r="E203" s="263">
        <f>(SUM(C201:C203)-SUM(C198:C200))/SUM(C198:C200)</f>
        <v>1.4134114718145007E-2</v>
      </c>
      <c r="F203" s="263"/>
      <c r="G203" s="263"/>
      <c r="H203" s="262"/>
    </row>
    <row r="204" spans="1:8" hidden="1" x14ac:dyDescent="0.2">
      <c r="A204" s="281">
        <f t="shared" si="27"/>
        <v>2021</v>
      </c>
      <c r="B204" s="282" t="s">
        <v>16</v>
      </c>
      <c r="C204" s="258">
        <f>Indeks!H207</f>
        <v>137.84454756423466</v>
      </c>
      <c r="D204" s="259">
        <f t="shared" si="26"/>
        <v>-1.7744956428424796E-5</v>
      </c>
      <c r="E204" s="259"/>
      <c r="F204" s="259"/>
      <c r="G204" s="259"/>
      <c r="H204" s="258"/>
    </row>
    <row r="205" spans="1:8" hidden="1" x14ac:dyDescent="0.2">
      <c r="A205" s="266">
        <f t="shared" si="27"/>
        <v>2021</v>
      </c>
      <c r="B205" s="284" t="s">
        <v>17</v>
      </c>
      <c r="C205" s="268">
        <f>Indeks!H208</f>
        <v>138.56189596334872</v>
      </c>
      <c r="D205" s="269">
        <f t="shared" si="26"/>
        <v>5.2040389829694127E-3</v>
      </c>
      <c r="E205" s="269"/>
      <c r="F205" s="269"/>
      <c r="G205" s="269"/>
      <c r="H205" s="268"/>
    </row>
    <row r="206" spans="1:8" ht="13.5" hidden="1" thickBot="1" x14ac:dyDescent="0.25">
      <c r="A206" s="285">
        <f t="shared" si="27"/>
        <v>2021</v>
      </c>
      <c r="B206" s="286" t="s">
        <v>18</v>
      </c>
      <c r="C206" s="287">
        <f>Indeks!H209</f>
        <v>141.4645862060365</v>
      </c>
      <c r="D206" s="288">
        <f t="shared" si="26"/>
        <v>2.0948690276694677E-2</v>
      </c>
      <c r="E206" s="288">
        <f>(SUM(C204:C206)-SUM(C201:C203))/SUM(C201:C203)</f>
        <v>1.679479149460655E-2</v>
      </c>
      <c r="F206" s="288">
        <f>(SUM(C201:C206)-SUM(C195:C200))/SUM(C195:C200)</f>
        <v>4.0769650120881233E-2</v>
      </c>
      <c r="G206" s="288">
        <f>(SUM(C195:C206)-SUM(C183:C194))/SUM(C183:C194)</f>
        <v>4.904529012364052E-2</v>
      </c>
      <c r="H206" s="287">
        <f>(C195+C196+C197+C198+C199+C200+C201+C202+C203+C204+C205+C206)/12</f>
        <v>135.43433607488839</v>
      </c>
    </row>
    <row r="207" spans="1:8" hidden="1" x14ac:dyDescent="0.2">
      <c r="A207" s="2">
        <v>2022</v>
      </c>
      <c r="B207" s="253" t="s">
        <v>8</v>
      </c>
      <c r="C207" s="254">
        <f>Indeks!H210</f>
        <v>142.66633079846494</v>
      </c>
      <c r="D207" s="255">
        <f t="shared" ref="D207:D218" si="28">(C207-C206)/C206</f>
        <v>8.4950207303342747E-3</v>
      </c>
      <c r="E207" s="255"/>
      <c r="F207" s="255"/>
      <c r="G207" s="255"/>
      <c r="H207" s="254"/>
    </row>
    <row r="208" spans="1:8" hidden="1" x14ac:dyDescent="0.2">
      <c r="A208" s="10">
        <f>A207</f>
        <v>2022</v>
      </c>
      <c r="B208" t="s">
        <v>9</v>
      </c>
      <c r="C208" s="258">
        <f>Indeks!H211</f>
        <v>142.67904981561259</v>
      </c>
      <c r="D208" s="259">
        <f t="shared" si="28"/>
        <v>8.9152199236223198E-5</v>
      </c>
      <c r="E208" s="259"/>
      <c r="F208" s="259"/>
      <c r="G208" s="259"/>
      <c r="H208" s="258"/>
    </row>
    <row r="209" spans="1:8" hidden="1" x14ac:dyDescent="0.2">
      <c r="A209" s="260">
        <f t="shared" ref="A209:A218" si="29">A208</f>
        <v>2022</v>
      </c>
      <c r="B209" s="261" t="s">
        <v>10</v>
      </c>
      <c r="C209" s="262">
        <f>Indeks!H212</f>
        <v>151.37779186562898</v>
      </c>
      <c r="D209" s="263">
        <f t="shared" si="28"/>
        <v>6.0967199187673148E-2</v>
      </c>
      <c r="E209" s="263">
        <f>(SUM(C207:C209)-SUM(C204:C206))/SUM(C204:C206)</f>
        <v>4.5114739727480535E-2</v>
      </c>
      <c r="F209" s="263"/>
      <c r="G209" s="263"/>
      <c r="H209" s="262"/>
    </row>
    <row r="210" spans="1:8" hidden="1" x14ac:dyDescent="0.2">
      <c r="A210" s="17">
        <f t="shared" si="29"/>
        <v>2022</v>
      </c>
      <c r="B210" s="18" t="s">
        <v>11</v>
      </c>
      <c r="C210" s="258">
        <f>Indeks!H213</f>
        <v>154.60870435421765</v>
      </c>
      <c r="D210" s="259">
        <f t="shared" si="28"/>
        <v>2.1343371763915028E-2</v>
      </c>
      <c r="E210" s="259"/>
      <c r="F210" s="259"/>
      <c r="G210" s="259"/>
      <c r="H210" s="258"/>
    </row>
    <row r="211" spans="1:8" hidden="1" x14ac:dyDescent="0.2">
      <c r="A211" s="266">
        <f t="shared" si="29"/>
        <v>2022</v>
      </c>
      <c r="B211" s="267" t="s">
        <v>12</v>
      </c>
      <c r="C211" s="268">
        <f>Indeks!H214</f>
        <v>161.16319043430852</v>
      </c>
      <c r="D211" s="269">
        <f t="shared" si="28"/>
        <v>4.2394030190397003E-2</v>
      </c>
      <c r="E211" s="269"/>
      <c r="F211" s="269"/>
      <c r="G211" s="269"/>
      <c r="H211" s="268"/>
    </row>
    <row r="212" spans="1:8" ht="13.5" hidden="1" thickBot="1" x14ac:dyDescent="0.25">
      <c r="A212" s="285">
        <f t="shared" si="29"/>
        <v>2022</v>
      </c>
      <c r="B212" s="286" t="s">
        <v>13</v>
      </c>
      <c r="C212" s="287">
        <f>Indeks!H215</f>
        <v>161.64528159953738</v>
      </c>
      <c r="D212" s="288">
        <f t="shared" si="28"/>
        <v>2.9913230429957898E-3</v>
      </c>
      <c r="E212" s="288">
        <f>(SUM(C210:C212)-SUM(C207:C209))/SUM(C207:C209)</f>
        <v>9.3180317584929756E-2</v>
      </c>
      <c r="F212" s="288">
        <f>(SUM(C207:C212)-SUM(C201:C206))/SUM(C201:C206)</f>
        <v>0.10291544113770973</v>
      </c>
      <c r="G212" s="288"/>
      <c r="H212" s="287"/>
    </row>
    <row r="213" spans="1:8" hidden="1" x14ac:dyDescent="0.2">
      <c r="A213" s="274">
        <f t="shared" si="29"/>
        <v>2022</v>
      </c>
      <c r="B213" s="275" t="s">
        <v>30</v>
      </c>
      <c r="C213" s="276">
        <f>Indeks!H216</f>
        <v>164.52406918097884</v>
      </c>
      <c r="D213" s="277">
        <f t="shared" si="28"/>
        <v>1.7809289284257689E-2</v>
      </c>
      <c r="E213" s="277"/>
      <c r="F213" s="277"/>
      <c r="G213" s="277"/>
      <c r="H213" s="278"/>
    </row>
    <row r="214" spans="1:8" hidden="1" x14ac:dyDescent="0.2">
      <c r="A214" s="256">
        <f t="shared" si="29"/>
        <v>2022</v>
      </c>
      <c r="B214" s="279" t="s">
        <v>14</v>
      </c>
      <c r="C214" s="258">
        <f>Indeks!H217</f>
        <v>167.39444295191396</v>
      </c>
      <c r="D214" s="259">
        <f t="shared" si="28"/>
        <v>1.7446527947091225E-2</v>
      </c>
      <c r="E214" s="259"/>
      <c r="F214" s="259"/>
      <c r="G214" s="259"/>
      <c r="H214" s="258"/>
    </row>
    <row r="215" spans="1:8" hidden="1" x14ac:dyDescent="0.2">
      <c r="A215" s="260">
        <f t="shared" si="29"/>
        <v>2022</v>
      </c>
      <c r="B215" s="280" t="s">
        <v>15</v>
      </c>
      <c r="C215" s="262">
        <f>Indeks!H218</f>
        <v>166.94707855189776</v>
      </c>
      <c r="D215" s="263">
        <f t="shared" si="28"/>
        <v>-2.6725164355946331E-3</v>
      </c>
      <c r="E215" s="263">
        <f>(SUM(C213:C215)-SUM(C210:C212))/SUM(C210:C212)</f>
        <v>4.4925937644298156E-2</v>
      </c>
      <c r="F215" s="263"/>
      <c r="G215" s="263"/>
      <c r="H215" s="262"/>
    </row>
    <row r="216" spans="1:8" hidden="1" x14ac:dyDescent="0.2">
      <c r="A216" s="17">
        <f t="shared" si="29"/>
        <v>2022</v>
      </c>
      <c r="B216" s="18" t="s">
        <v>16</v>
      </c>
      <c r="C216" s="258">
        <f>Indeks!H219</f>
        <v>163.85548372613056</v>
      </c>
      <c r="D216" s="259">
        <f t="shared" si="28"/>
        <v>-1.8518412257247967E-2</v>
      </c>
      <c r="E216" s="259"/>
      <c r="F216" s="259"/>
      <c r="G216" s="259"/>
      <c r="H216" s="258"/>
    </row>
    <row r="217" spans="1:8" hidden="1" x14ac:dyDescent="0.2">
      <c r="A217" s="266">
        <f t="shared" si="29"/>
        <v>2022</v>
      </c>
      <c r="B217" s="267" t="s">
        <v>17</v>
      </c>
      <c r="C217" s="268">
        <f>Indeks!H220</f>
        <v>167.86901231186818</v>
      </c>
      <c r="D217" s="269">
        <f t="shared" si="28"/>
        <v>2.4494319594734242E-2</v>
      </c>
      <c r="E217" s="269"/>
      <c r="F217" s="269"/>
      <c r="G217" s="269"/>
      <c r="H217" s="268"/>
    </row>
    <row r="218" spans="1:8" ht="13.5" hidden="1" thickBot="1" x14ac:dyDescent="0.25">
      <c r="A218" s="285">
        <f t="shared" si="29"/>
        <v>2022</v>
      </c>
      <c r="B218" s="286" t="s">
        <v>18</v>
      </c>
      <c r="C218" s="287">
        <f>Indeks!H221</f>
        <v>171.04412418274603</v>
      </c>
      <c r="D218" s="288">
        <f t="shared" si="28"/>
        <v>1.8914222626026489E-2</v>
      </c>
      <c r="E218" s="288">
        <f>(SUM(C216:C218)-SUM(C213:C215))/SUM(C213:C215)</f>
        <v>7.8238098775192631E-3</v>
      </c>
      <c r="F218" s="288">
        <f>(SUM(C213:C218)-SUM(C207:C212))/SUM(C207:C212)</f>
        <v>9.5711629123616415E-2</v>
      </c>
      <c r="G218" s="288">
        <f>(SUM(C207:C218)-SUM(C195:C206))/SUM(C195:C206)</f>
        <v>0.1787843807410219</v>
      </c>
      <c r="H218" s="287">
        <f>(C207+C208+C209+C210+C211+C212+C213+C214+C215+C216+C217+C218)/12</f>
        <v>159.64787998110876</v>
      </c>
    </row>
    <row r="219" spans="1:8" x14ac:dyDescent="0.2">
      <c r="A219" s="2">
        <v>2023</v>
      </c>
      <c r="B219" s="253" t="s">
        <v>8</v>
      </c>
      <c r="C219" s="254">
        <f>Indeks!H222</f>
        <v>167.54791150243392</v>
      </c>
      <c r="D219" s="255">
        <f t="shared" ref="D219:D230" si="30">(C219-C218)/C218</f>
        <v>-2.0440413823141376E-2</v>
      </c>
      <c r="E219" s="255"/>
      <c r="F219" s="255"/>
      <c r="G219" s="255"/>
      <c r="H219" s="254"/>
    </row>
    <row r="220" spans="1:8" x14ac:dyDescent="0.2">
      <c r="A220" s="10">
        <f>A219</f>
        <v>2023</v>
      </c>
      <c r="B220" t="s">
        <v>9</v>
      </c>
      <c r="C220" s="258">
        <f>Indeks!H223</f>
        <v>163.29482029489142</v>
      </c>
      <c r="D220" s="259">
        <f t="shared" si="30"/>
        <v>-2.5384328395407739E-2</v>
      </c>
      <c r="E220" s="259"/>
      <c r="F220" s="259"/>
      <c r="G220" s="259"/>
      <c r="H220" s="258"/>
    </row>
    <row r="221" spans="1:8" x14ac:dyDescent="0.2">
      <c r="A221" s="260">
        <f t="shared" ref="A221:A230" si="31">A220</f>
        <v>2023</v>
      </c>
      <c r="B221" s="280" t="s">
        <v>10</v>
      </c>
      <c r="C221" s="262">
        <f>Indeks!H224</f>
        <v>165.03924335743366</v>
      </c>
      <c r="D221" s="263">
        <f t="shared" si="30"/>
        <v>1.0682660107601787E-2</v>
      </c>
      <c r="E221" s="263">
        <f>(SUM(C219:C221)-SUM(C216:C218))/SUM(C216:C218)</f>
        <v>-1.3697444090608078E-2</v>
      </c>
      <c r="F221" s="263"/>
      <c r="G221" s="263"/>
      <c r="H221" s="262"/>
    </row>
    <row r="222" spans="1:8" x14ac:dyDescent="0.2">
      <c r="A222" s="17">
        <f t="shared" si="31"/>
        <v>2023</v>
      </c>
      <c r="B222" s="18" t="s">
        <v>11</v>
      </c>
      <c r="C222" s="258">
        <f>Indeks!H225</f>
        <v>162.4946987127627</v>
      </c>
      <c r="D222" s="259">
        <f t="shared" si="30"/>
        <v>-1.5417815744344619E-2</v>
      </c>
      <c r="E222" s="259"/>
      <c r="F222" s="259"/>
      <c r="G222" s="259"/>
      <c r="H222" s="258"/>
    </row>
    <row r="223" spans="1:8" x14ac:dyDescent="0.2">
      <c r="A223" s="266">
        <f t="shared" si="31"/>
        <v>2023</v>
      </c>
      <c r="B223" s="267" t="s">
        <v>12</v>
      </c>
      <c r="C223" s="268">
        <f>Indeks!H226</f>
        <v>163.23102533608559</v>
      </c>
      <c r="D223" s="269">
        <f t="shared" si="30"/>
        <v>4.5313885877869735E-3</v>
      </c>
      <c r="E223" s="269"/>
      <c r="F223" s="269"/>
      <c r="G223" s="269"/>
      <c r="H223" s="268"/>
    </row>
    <row r="224" spans="1:8" x14ac:dyDescent="0.2">
      <c r="A224" s="270">
        <f t="shared" si="31"/>
        <v>2023</v>
      </c>
      <c r="B224" s="271" t="s">
        <v>13</v>
      </c>
      <c r="C224" s="272">
        <f>Indeks!H227</f>
        <v>161.88386198763266</v>
      </c>
      <c r="D224" s="273">
        <f t="shared" si="30"/>
        <v>-8.2531084129330613E-3</v>
      </c>
      <c r="E224" s="273">
        <f>(SUM(C222:C224)-SUM(C219:C221))/SUM(C219:C221)</f>
        <v>-1.6682173446002518E-2</v>
      </c>
      <c r="F224" s="273">
        <f>(SUM(C219:C224)-SUM(C213:C218))/SUM(C213:C218)</f>
        <v>-1.8113049171806256E-2</v>
      </c>
      <c r="G224" s="273"/>
      <c r="H224" s="272"/>
    </row>
    <row r="225" spans="1:8" x14ac:dyDescent="0.2">
      <c r="A225" s="17">
        <f t="shared" si="31"/>
        <v>2023</v>
      </c>
      <c r="B225" s="22" t="s">
        <v>30</v>
      </c>
      <c r="C225" s="276">
        <f>Indeks!H228</f>
        <v>159.4990241529556</v>
      </c>
      <c r="D225" s="277">
        <f t="shared" si="30"/>
        <v>-1.4731782435850526E-2</v>
      </c>
      <c r="E225" s="277"/>
      <c r="F225" s="277"/>
      <c r="G225" s="277"/>
      <c r="H225" s="278"/>
    </row>
    <row r="226" spans="1:8" x14ac:dyDescent="0.2">
      <c r="A226" s="10">
        <f t="shared" si="31"/>
        <v>2023</v>
      </c>
      <c r="B226" t="s">
        <v>14</v>
      </c>
      <c r="C226" s="258">
        <f>Indeks!H229</f>
        <v>162.16189723418211</v>
      </c>
      <c r="D226" s="259">
        <f t="shared" si="30"/>
        <v>1.6695231180053356E-2</v>
      </c>
      <c r="E226" s="259"/>
      <c r="F226" s="259"/>
      <c r="G226" s="259"/>
      <c r="H226" s="258"/>
    </row>
    <row r="227" spans="1:8" x14ac:dyDescent="0.2">
      <c r="A227" s="12">
        <f t="shared" si="31"/>
        <v>2023</v>
      </c>
      <c r="B227" s="13" t="s">
        <v>15</v>
      </c>
      <c r="C227" s="262">
        <f>Indeks!H230</f>
        <v>161.8148166361016</v>
      </c>
      <c r="D227" s="263">
        <f t="shared" si="30"/>
        <v>-2.1403338515414735E-3</v>
      </c>
      <c r="E227" s="263">
        <f>(SUM(C225:C227)-SUM(C222:C224))/SUM(C222:C224)</f>
        <v>-8.4777824957124551E-3</v>
      </c>
      <c r="F227" s="263"/>
      <c r="G227" s="263"/>
      <c r="H227" s="262"/>
    </row>
    <row r="228" spans="1:8" x14ac:dyDescent="0.2">
      <c r="A228" s="281">
        <f t="shared" si="31"/>
        <v>2023</v>
      </c>
      <c r="B228" s="282" t="s">
        <v>16</v>
      </c>
      <c r="C228" s="258">
        <f>Indeks!H231</f>
        <v>165.5065466007517</v>
      </c>
      <c r="D228" s="259">
        <f t="shared" si="30"/>
        <v>2.2814536031964743E-2</v>
      </c>
      <c r="E228" s="259"/>
      <c r="F228" s="259"/>
      <c r="G228" s="259"/>
      <c r="H228" s="258"/>
    </row>
    <row r="229" spans="1:8" x14ac:dyDescent="0.2">
      <c r="A229" s="10">
        <f t="shared" si="31"/>
        <v>2023</v>
      </c>
      <c r="B229" t="s">
        <v>17</v>
      </c>
      <c r="C229" s="268">
        <f>Indeks!H232</f>
        <v>166.92578641939716</v>
      </c>
      <c r="D229" s="269">
        <f t="shared" si="30"/>
        <v>8.5751279800977079E-3</v>
      </c>
      <c r="E229" s="269"/>
      <c r="F229" s="269"/>
      <c r="G229" s="269"/>
      <c r="H229" s="268"/>
    </row>
    <row r="230" spans="1:8" ht="13.5" thickBot="1" x14ac:dyDescent="0.25">
      <c r="A230" s="30">
        <f t="shared" si="31"/>
        <v>2023</v>
      </c>
      <c r="B230" s="31" t="s">
        <v>18</v>
      </c>
      <c r="C230" s="287">
        <f>Indeks!H233</f>
        <v>166.62559295492355</v>
      </c>
      <c r="D230" s="288">
        <f t="shared" si="30"/>
        <v>-1.7983648357323241E-3</v>
      </c>
      <c r="E230" s="288">
        <f>(SUM(C228:C230)-SUM(C225:C227))/SUM(C225:C227)</f>
        <v>3.22295137612141E-2</v>
      </c>
      <c r="F230" s="288">
        <f>(SUM(C225:C230)-SUM(C219:C224))/SUM(C219:C224)</f>
        <v>-9.7397601639626281E-4</v>
      </c>
      <c r="G230" s="288">
        <f>(SUM(C219:C230)-SUM(C207:C218))/SUM(C207:C218)</f>
        <v>2.6229947130205572E-2</v>
      </c>
      <c r="H230" s="287">
        <f>(C219+C220+C221+C222+C223+C224+C225+C226+C227+C228+C229+C230)/12</f>
        <v>163.83543543246265</v>
      </c>
    </row>
    <row r="231" spans="1:8" x14ac:dyDescent="0.2">
      <c r="A231" s="2">
        <v>2024</v>
      </c>
      <c r="B231" t="s">
        <v>8</v>
      </c>
      <c r="C231" s="254">
        <f>Indeks!H234</f>
        <v>166.72014015198874</v>
      </c>
      <c r="D231" s="255">
        <f t="shared" ref="D231:D242" si="32">(C231-C230)/C230</f>
        <v>5.6742301940839281E-4</v>
      </c>
      <c r="E231" s="255"/>
      <c r="F231" s="255"/>
      <c r="G231" s="255"/>
      <c r="H231" s="254"/>
    </row>
    <row r="232" spans="1:8" x14ac:dyDescent="0.2">
      <c r="A232" s="10">
        <f>A231</f>
        <v>2024</v>
      </c>
      <c r="B232" t="s">
        <v>9</v>
      </c>
      <c r="C232" s="258">
        <f>Indeks!H235</f>
        <v>163.40976621340656</v>
      </c>
      <c r="D232" s="259">
        <f t="shared" si="32"/>
        <v>-1.9855873055074923E-2</v>
      </c>
      <c r="E232" s="259"/>
      <c r="F232" s="259"/>
      <c r="G232" s="259"/>
      <c r="H232" s="258"/>
    </row>
    <row r="233" spans="1:8" x14ac:dyDescent="0.2">
      <c r="A233" s="12">
        <f t="shared" ref="A233:A242" si="33">A232</f>
        <v>2024</v>
      </c>
      <c r="B233" s="13" t="s">
        <v>10</v>
      </c>
      <c r="C233" s="262">
        <f>Indeks!H236</f>
        <v>153.23542169368963</v>
      </c>
      <c r="D233" s="263">
        <f t="shared" si="32"/>
        <v>-6.2262768961003481E-2</v>
      </c>
      <c r="E233" s="263">
        <f>(SUM(C231:C233)-SUM(C228:C230))/SUM(C228:C230)</f>
        <v>-3.1444441815700733E-2</v>
      </c>
      <c r="F233" s="263"/>
      <c r="G233" s="263"/>
      <c r="H233" s="262"/>
    </row>
    <row r="234" spans="1:8" x14ac:dyDescent="0.2">
      <c r="A234" s="17">
        <f t="shared" si="33"/>
        <v>2024</v>
      </c>
      <c r="B234" s="18" t="s">
        <v>11</v>
      </c>
      <c r="C234" s="258">
        <f>Indeks!H237</f>
        <v>155.30647150395399</v>
      </c>
      <c r="D234" s="259">
        <f t="shared" si="32"/>
        <v>1.3515476952869854E-2</v>
      </c>
      <c r="E234" s="259"/>
      <c r="F234" s="259"/>
      <c r="G234" s="259"/>
      <c r="H234" s="258"/>
    </row>
    <row r="235" spans="1:8" x14ac:dyDescent="0.2">
      <c r="A235" s="10">
        <f t="shared" si="33"/>
        <v>2024</v>
      </c>
      <c r="B235" t="s">
        <v>12</v>
      </c>
      <c r="C235" s="268">
        <f>Indeks!H238</f>
        <v>154.23684032546961</v>
      </c>
      <c r="D235" s="269">
        <f t="shared" si="32"/>
        <v>-6.8872286397746113E-3</v>
      </c>
      <c r="E235" s="269"/>
      <c r="F235" s="269"/>
      <c r="G235" s="269"/>
      <c r="H235" s="268"/>
    </row>
    <row r="236" spans="1:8" x14ac:dyDescent="0.2">
      <c r="A236" s="12">
        <f t="shared" si="33"/>
        <v>2024</v>
      </c>
      <c r="B236" s="13" t="s">
        <v>13</v>
      </c>
      <c r="C236" s="272">
        <f>Indeks!H239</f>
        <v>154.07731026602255</v>
      </c>
      <c r="D236" s="273">
        <f t="shared" si="32"/>
        <v>-1.0343187730663115E-3</v>
      </c>
      <c r="E236" s="273">
        <f>(SUM(C234:C236)-SUM(C231:C233))/SUM(C231:C233)</f>
        <v>-4.0848411786013082E-2</v>
      </c>
      <c r="F236" s="273">
        <f>(SUM(C231:C236)-SUM(C225:C230))/SUM(C225:C230)</f>
        <v>-3.6179639585195468E-2</v>
      </c>
      <c r="G236" s="273"/>
      <c r="H236" s="272"/>
    </row>
    <row r="237" spans="1:8" x14ac:dyDescent="0.2">
      <c r="A237" s="17">
        <f t="shared" si="33"/>
        <v>2024</v>
      </c>
      <c r="B237" s="22" t="s">
        <v>30</v>
      </c>
      <c r="C237" s="276">
        <f>Indeks!H240</f>
        <v>152.69587786859492</v>
      </c>
      <c r="D237" s="277">
        <f t="shared" si="32"/>
        <v>-8.965839259800908E-3</v>
      </c>
      <c r="E237" s="277"/>
      <c r="F237" s="277"/>
      <c r="G237" s="277"/>
      <c r="H237" s="278"/>
    </row>
    <row r="238" spans="1:8" x14ac:dyDescent="0.2">
      <c r="A238" s="10">
        <f t="shared" si="33"/>
        <v>2024</v>
      </c>
      <c r="B238" t="s">
        <v>14</v>
      </c>
      <c r="C238" s="258">
        <f>Indeks!H241</f>
        <v>151.18221273446221</v>
      </c>
      <c r="D238" s="259">
        <f t="shared" si="32"/>
        <v>-9.9129403835990833E-3</v>
      </c>
      <c r="E238" s="259"/>
      <c r="F238" s="259"/>
      <c r="G238" s="259"/>
      <c r="H238" s="258"/>
    </row>
    <row r="239" spans="1:8" x14ac:dyDescent="0.2">
      <c r="A239" s="12">
        <f t="shared" si="33"/>
        <v>2024</v>
      </c>
      <c r="B239" s="13" t="s">
        <v>15</v>
      </c>
      <c r="C239" s="262">
        <f>Indeks!H242</f>
        <v>152.73494619286586</v>
      </c>
      <c r="D239" s="263">
        <f t="shared" si="32"/>
        <v>1.0270609421036097E-2</v>
      </c>
      <c r="E239" s="263">
        <f>(SUM(C237:C239)-SUM(C234:C236))/SUM(C234:C236)</f>
        <v>-1.5114912852346108E-2</v>
      </c>
      <c r="F239" s="263"/>
      <c r="G239" s="263"/>
      <c r="H239" s="262"/>
    </row>
    <row r="240" spans="1:8" x14ac:dyDescent="0.2">
      <c r="A240" s="17">
        <f t="shared" si="33"/>
        <v>2024</v>
      </c>
      <c r="B240" s="18" t="s">
        <v>16</v>
      </c>
      <c r="C240" s="258">
        <f>Indeks!H243</f>
        <v>153.28788302490676</v>
      </c>
      <c r="D240" s="259">
        <f t="shared" si="32"/>
        <v>3.6202378422465209E-3</v>
      </c>
      <c r="E240" s="259"/>
      <c r="F240" s="259"/>
      <c r="G240" s="259"/>
      <c r="H240" s="258"/>
    </row>
    <row r="241" spans="1:8" x14ac:dyDescent="0.2">
      <c r="A241" s="10">
        <f t="shared" si="33"/>
        <v>2024</v>
      </c>
      <c r="B241" t="s">
        <v>17</v>
      </c>
      <c r="C241" s="268">
        <f>Indeks!H244</f>
        <v>151.31684562173675</v>
      </c>
      <c r="D241" s="269">
        <f t="shared" si="32"/>
        <v>-1.2858403184090907E-2</v>
      </c>
      <c r="E241" s="269"/>
      <c r="F241" s="269"/>
      <c r="G241" s="269"/>
      <c r="H241" s="268"/>
    </row>
    <row r="242" spans="1:8" ht="13.5" thickBot="1" x14ac:dyDescent="0.25">
      <c r="A242" s="30">
        <f t="shared" si="33"/>
        <v>2024</v>
      </c>
      <c r="B242" s="31" t="s">
        <v>18</v>
      </c>
      <c r="C242" s="287">
        <f>Indeks!H245</f>
        <v>152.29238818987139</v>
      </c>
      <c r="D242" s="288">
        <f t="shared" si="32"/>
        <v>6.4470189298904152E-3</v>
      </c>
      <c r="E242" s="288">
        <f>(SUM(C240:C242)-SUM(C237:C239))/SUM(C237:C239)</f>
        <v>6.2214614498374112E-4</v>
      </c>
      <c r="F242" s="288">
        <f>(SUM(C237:C242)-SUM(C231:C236))/SUM(C231:C236)</f>
        <v>-3.53498344052839E-2</v>
      </c>
      <c r="G242" s="288">
        <f>(SUM(C231:C242)-SUM(C219:C230))/SUM(C219:C230)</f>
        <v>-5.3676382200237745E-2</v>
      </c>
      <c r="H242" s="287">
        <f>(C231+C232+C233+C234+C235+C236+C237+C238+C239+C240+C241+C242)/12</f>
        <v>155.04134198224742</v>
      </c>
    </row>
    <row r="243" spans="1:8" x14ac:dyDescent="0.2">
      <c r="A243" s="2">
        <v>2025</v>
      </c>
      <c r="B243" t="s">
        <v>8</v>
      </c>
      <c r="C243" s="254">
        <f>Indeks!H246</f>
        <v>152.67812202911551</v>
      </c>
      <c r="D243" s="255">
        <f t="shared" ref="D243:D254" si="34">(C243-C242)/C242</f>
        <v>2.5328504190452981E-3</v>
      </c>
      <c r="E243" s="255"/>
      <c r="F243" s="255"/>
      <c r="G243" s="255"/>
      <c r="H243" s="254"/>
    </row>
    <row r="244" spans="1:8" x14ac:dyDescent="0.2">
      <c r="A244" s="10">
        <f>A243</f>
        <v>2025</v>
      </c>
      <c r="B244" t="s">
        <v>9</v>
      </c>
      <c r="C244" s="258">
        <f>Indeks!H247</f>
        <v>152.36648388964974</v>
      </c>
      <c r="D244" s="259">
        <f t="shared" si="34"/>
        <v>-2.0411446992146119E-3</v>
      </c>
      <c r="E244" s="259"/>
      <c r="F244" s="259"/>
      <c r="G244" s="259"/>
      <c r="H244" s="258"/>
    </row>
    <row r="245" spans="1:8" x14ac:dyDescent="0.2">
      <c r="A245" s="12">
        <f t="shared" ref="A245:A254" si="35">A244</f>
        <v>2025</v>
      </c>
      <c r="B245" s="13" t="s">
        <v>10</v>
      </c>
      <c r="C245" s="157">
        <f>Indeks!H248</f>
        <v>152.37771571682595</v>
      </c>
      <c r="D245" s="159">
        <f t="shared" si="34"/>
        <v>7.3715865126467638E-5</v>
      </c>
      <c r="E245" s="159">
        <f>(SUM(C243:C245)-SUM(C240:C242))/SUM(C240:C242)</f>
        <v>1.1495034214982895E-3</v>
      </c>
      <c r="F245" s="159"/>
      <c r="G245" s="159"/>
      <c r="H245" s="159"/>
    </row>
    <row r="246" spans="1:8" x14ac:dyDescent="0.2">
      <c r="A246" s="17">
        <f t="shared" si="35"/>
        <v>2025</v>
      </c>
      <c r="B246" s="18" t="s">
        <v>11</v>
      </c>
      <c r="C246" s="158">
        <f>Indeks!H249</f>
        <v>153.34410539968087</v>
      </c>
      <c r="D246" s="160">
        <f t="shared" si="34"/>
        <v>6.342067003096653E-3</v>
      </c>
      <c r="E246" s="160"/>
      <c r="F246" s="160"/>
      <c r="G246" s="160"/>
      <c r="H246" s="133"/>
    </row>
    <row r="247" spans="1:8" x14ac:dyDescent="0.2">
      <c r="A247" s="10">
        <f t="shared" si="35"/>
        <v>2025</v>
      </c>
      <c r="B247" t="s">
        <v>12</v>
      </c>
      <c r="C247" s="156">
        <f>Indeks!H250</f>
        <v>153.355358496581</v>
      </c>
      <c r="D247" s="133">
        <f t="shared" si="34"/>
        <v>7.3384606932256529E-5</v>
      </c>
      <c r="E247" s="133"/>
      <c r="F247" s="133"/>
      <c r="G247" s="133"/>
      <c r="H247" s="133"/>
    </row>
    <row r="248" spans="1:8" x14ac:dyDescent="0.2">
      <c r="A248" s="12">
        <f t="shared" si="35"/>
        <v>2025</v>
      </c>
      <c r="B248" s="13" t="s">
        <v>13</v>
      </c>
      <c r="C248" s="157">
        <f>Indeks!H251</f>
        <v>153.36662224411302</v>
      </c>
      <c r="D248" s="159">
        <f t="shared" si="34"/>
        <v>7.3448672693519722E-5</v>
      </c>
      <c r="E248" s="159">
        <f>(SUM(C246:C248)-SUM(C243:C245))/SUM(C243:C245)</f>
        <v>5.7797015574807559E-3</v>
      </c>
      <c r="F248" s="159">
        <f>(SUM(C243:C248)-SUM(C237:C242))/SUM(C237:C242)</f>
        <v>4.3549096063235796E-3</v>
      </c>
      <c r="G248" s="159"/>
      <c r="H248" s="159"/>
    </row>
    <row r="249" spans="1:8" x14ac:dyDescent="0.2">
      <c r="A249" s="17">
        <f t="shared" si="35"/>
        <v>2025</v>
      </c>
      <c r="B249" s="22" t="s">
        <v>30</v>
      </c>
      <c r="C249" s="158">
        <f>Indeks!H252</f>
        <v>154.34324767476326</v>
      </c>
      <c r="D249" s="160">
        <f t="shared" si="34"/>
        <v>6.3679138026248895E-3</v>
      </c>
      <c r="E249" s="160"/>
      <c r="F249" s="160"/>
      <c r="G249" s="160"/>
      <c r="H249" s="133"/>
    </row>
    <row r="250" spans="1:8" x14ac:dyDescent="0.2">
      <c r="A250" s="10">
        <f t="shared" si="35"/>
        <v>2025</v>
      </c>
      <c r="B250" t="s">
        <v>14</v>
      </c>
      <c r="C250" s="156">
        <f>Indeks!H253</f>
        <v>154.35453275515096</v>
      </c>
      <c r="D250" s="133">
        <f t="shared" si="34"/>
        <v>7.3116774188101088E-5</v>
      </c>
      <c r="E250" s="133"/>
      <c r="F250" s="133"/>
      <c r="G250" s="133"/>
      <c r="H250" s="133"/>
    </row>
    <row r="251" spans="1:8" x14ac:dyDescent="0.2">
      <c r="A251" s="12">
        <f t="shared" si="35"/>
        <v>2025</v>
      </c>
      <c r="B251" s="13" t="s">
        <v>15</v>
      </c>
      <c r="C251" s="157">
        <f>Indeks!H254</f>
        <v>154.36582851778334</v>
      </c>
      <c r="D251" s="159">
        <f t="shared" si="34"/>
        <v>7.3180634418455298E-5</v>
      </c>
      <c r="E251" s="159">
        <f>(SUM(C249:C251)-SUM(C246:C248))/SUM(C246:C248)</f>
        <v>6.5154178880469614E-3</v>
      </c>
      <c r="F251" s="159"/>
      <c r="G251" s="159"/>
      <c r="H251" s="159"/>
    </row>
    <row r="252" spans="1:8" x14ac:dyDescent="0.2">
      <c r="A252" s="17">
        <f t="shared" si="35"/>
        <v>2025</v>
      </c>
      <c r="B252" s="18" t="s">
        <v>16</v>
      </c>
      <c r="C252" s="158">
        <f>Indeks!H255</f>
        <v>155.35279879777082</v>
      </c>
      <c r="D252" s="133">
        <f t="shared" si="34"/>
        <v>6.3937096018227436E-3</v>
      </c>
      <c r="E252" s="160"/>
      <c r="F252" s="160"/>
      <c r="G252" s="160"/>
      <c r="H252" s="133"/>
    </row>
    <row r="253" spans="1:8" x14ac:dyDescent="0.2">
      <c r="A253" s="10">
        <f t="shared" si="35"/>
        <v>2025</v>
      </c>
      <c r="B253" t="s">
        <v>17</v>
      </c>
      <c r="C253" s="156">
        <f>Indeks!H256</f>
        <v>155.36411595657844</v>
      </c>
      <c r="D253" s="133">
        <f t="shared" si="34"/>
        <v>7.284811664294776E-5</v>
      </c>
      <c r="E253" s="133"/>
      <c r="F253" s="133"/>
      <c r="G253" s="133"/>
      <c r="H253" s="133"/>
    </row>
    <row r="254" spans="1:8" ht="13.5" thickBot="1" x14ac:dyDescent="0.25">
      <c r="A254" s="30">
        <f t="shared" si="35"/>
        <v>2025</v>
      </c>
      <c r="B254" s="31" t="s">
        <v>18</v>
      </c>
      <c r="C254" s="249">
        <f>Indeks!H257</f>
        <v>155.37544382933754</v>
      </c>
      <c r="D254" s="250">
        <f t="shared" si="34"/>
        <v>7.2911770451952867E-5</v>
      </c>
      <c r="E254" s="251">
        <f>(SUM(C252:C254)-SUM(C249:C251))/SUM(C249:C251)</f>
        <v>6.5406773010558018E-3</v>
      </c>
      <c r="F254" s="251">
        <f>(SUM(C249:C254)-SUM(C243:C248))/SUM(C243:C248)</f>
        <v>1.271684705390559E-2</v>
      </c>
      <c r="G254" s="251">
        <f>(SUM(C243:C254)-SUM(C231:C242))/SUM(C231:C242)</f>
        <v>-7.4451800524730051E-3</v>
      </c>
      <c r="H254" s="252">
        <f>(C243+C244+C245+C246+C247+C248+C249+C250+C251+C252+C253+C254)/12</f>
        <v>153.88703127561254</v>
      </c>
    </row>
    <row r="255" spans="1:8" x14ac:dyDescent="0.2">
      <c r="A255" s="2">
        <v>2026</v>
      </c>
      <c r="B255" t="s">
        <v>8</v>
      </c>
      <c r="C255" s="156">
        <f>Indeks!H258</f>
        <v>156.32906687340079</v>
      </c>
      <c r="D255" s="133">
        <f t="shared" ref="D255:D266" si="36">(C255-C254)/C254</f>
        <v>6.1375402738073409E-3</v>
      </c>
      <c r="E255" s="133"/>
      <c r="F255" s="133"/>
      <c r="G255" s="133"/>
      <c r="H255" s="133"/>
    </row>
    <row r="256" spans="1:8" x14ac:dyDescent="0.2">
      <c r="A256" s="10">
        <f>A255</f>
        <v>2026</v>
      </c>
      <c r="B256" t="s">
        <v>9</v>
      </c>
      <c r="C256" s="156">
        <f>Indeks!H259</f>
        <v>156.34036081580669</v>
      </c>
      <c r="D256" s="133">
        <f t="shared" si="36"/>
        <v>7.2244673570817349E-5</v>
      </c>
      <c r="E256" s="133"/>
      <c r="F256" s="133"/>
      <c r="G256" s="133"/>
      <c r="H256" s="133"/>
    </row>
    <row r="257" spans="1:8" x14ac:dyDescent="0.2">
      <c r="A257" s="12">
        <f t="shared" ref="A257:A266" si="37">A256</f>
        <v>2026</v>
      </c>
      <c r="B257" s="13" t="s">
        <v>10</v>
      </c>
      <c r="C257" s="157">
        <f>Indeks!H260</f>
        <v>156.35166123401731</v>
      </c>
      <c r="D257" s="159">
        <f t="shared" si="36"/>
        <v>7.2280875850973811E-5</v>
      </c>
      <c r="E257" s="159">
        <f>(SUM(C255:C257)-SUM(C252:C254))/SUM(C252:C254)</f>
        <v>6.2835836837951417E-3</v>
      </c>
      <c r="F257" s="159"/>
      <c r="G257" s="159"/>
      <c r="H257" s="159"/>
    </row>
    <row r="258" spans="1:8" x14ac:dyDescent="0.2">
      <c r="A258" s="17">
        <f t="shared" si="37"/>
        <v>2026</v>
      </c>
      <c r="B258" s="18" t="s">
        <v>11</v>
      </c>
      <c r="C258" s="158">
        <f>Indeks!H261</f>
        <v>157.31492398016366</v>
      </c>
      <c r="D258" s="160">
        <f t="shared" si="36"/>
        <v>6.1608731147703667E-3</v>
      </c>
      <c r="E258" s="160"/>
      <c r="F258" s="160"/>
      <c r="G258" s="160"/>
      <c r="H258" s="133"/>
    </row>
    <row r="259" spans="1:8" x14ac:dyDescent="0.2">
      <c r="A259" s="10">
        <f t="shared" si="37"/>
        <v>2026</v>
      </c>
      <c r="B259" t="s">
        <v>12</v>
      </c>
      <c r="C259" s="156">
        <f>Indeks!H262</f>
        <v>157.32623736220481</v>
      </c>
      <c r="D259" s="133">
        <f t="shared" si="36"/>
        <v>7.1915503977095616E-5</v>
      </c>
      <c r="E259" s="133"/>
      <c r="F259" s="133"/>
      <c r="G259" s="133"/>
      <c r="H259" s="133"/>
    </row>
    <row r="260" spans="1:8" x14ac:dyDescent="0.2">
      <c r="A260" s="12">
        <f t="shared" si="37"/>
        <v>2026</v>
      </c>
      <c r="B260" s="13" t="s">
        <v>13</v>
      </c>
      <c r="C260" s="157">
        <f>Indeks!H263</f>
        <v>157.33755723227713</v>
      </c>
      <c r="D260" s="159">
        <f t="shared" si="36"/>
        <v>7.1951571855533361E-5</v>
      </c>
      <c r="E260" s="159">
        <f>(SUM(C258:C260)-SUM(C255:C257))/SUM(C255:C257)</f>
        <v>6.3059630393398867E-3</v>
      </c>
      <c r="F260" s="159">
        <f>(SUM(C255:C260)-SUM(C249:C254))/SUM(C249:C254)</f>
        <v>1.2746880373542982E-2</v>
      </c>
      <c r="G260" s="159"/>
      <c r="H260" s="159"/>
    </row>
    <row r="261" spans="1:8" x14ac:dyDescent="0.2">
      <c r="A261" s="17">
        <f t="shared" si="37"/>
        <v>2026</v>
      </c>
      <c r="B261" s="22" t="s">
        <v>30</v>
      </c>
      <c r="C261" s="158">
        <f>Indeks!H264</f>
        <v>158.3105579302717</v>
      </c>
      <c r="D261" s="160">
        <f t="shared" si="36"/>
        <v>6.1841604452910447E-3</v>
      </c>
      <c r="E261" s="160"/>
      <c r="F261" s="160"/>
      <c r="G261" s="160"/>
      <c r="H261" s="133"/>
    </row>
    <row r="262" spans="1:8" x14ac:dyDescent="0.2">
      <c r="A262" s="10">
        <f t="shared" si="37"/>
        <v>2026</v>
      </c>
      <c r="B262" t="s">
        <v>14</v>
      </c>
      <c r="C262" s="156">
        <f>Indeks!H265</f>
        <v>158.32189078865167</v>
      </c>
      <c r="D262" s="133">
        <f t="shared" si="36"/>
        <v>7.1586244961402795E-5</v>
      </c>
      <c r="E262" s="133"/>
      <c r="F262" s="133"/>
      <c r="G262" s="133"/>
      <c r="H262" s="133"/>
    </row>
    <row r="263" spans="1:8" x14ac:dyDescent="0.2">
      <c r="A263" s="12">
        <f t="shared" si="37"/>
        <v>2026</v>
      </c>
      <c r="B263" s="13" t="s">
        <v>15</v>
      </c>
      <c r="C263" s="157">
        <f>Indeks!H266</f>
        <v>158.33323014731354</v>
      </c>
      <c r="D263" s="159">
        <f t="shared" si="36"/>
        <v>7.1622178116913281E-5</v>
      </c>
      <c r="E263" s="159">
        <f>(SUM(C261:C263)-SUM(C258:C260))/SUM(C258:C260)</f>
        <v>6.3285910445532705E-3</v>
      </c>
      <c r="F263" s="159"/>
      <c r="G263" s="159"/>
      <c r="H263" s="159"/>
    </row>
    <row r="264" spans="1:8" x14ac:dyDescent="0.2">
      <c r="A264" s="17">
        <f t="shared" si="37"/>
        <v>2026</v>
      </c>
      <c r="B264" s="18" t="s">
        <v>16</v>
      </c>
      <c r="C264" s="158">
        <f>Indeks!H267</f>
        <v>159.31606804964892</v>
      </c>
      <c r="D264" s="133">
        <f t="shared" si="36"/>
        <v>6.2074013232783914E-3</v>
      </c>
      <c r="E264" s="160"/>
      <c r="F264" s="160"/>
      <c r="G264" s="160"/>
      <c r="H264" s="133"/>
    </row>
    <row r="265" spans="1:8" x14ac:dyDescent="0.2">
      <c r="A265" s="10">
        <f t="shared" si="37"/>
        <v>2026</v>
      </c>
      <c r="B265" t="s">
        <v>17</v>
      </c>
      <c r="C265" s="156">
        <f>Indeks!H268</f>
        <v>159.32742042114432</v>
      </c>
      <c r="D265" s="133">
        <f t="shared" si="36"/>
        <v>7.1256914850972522E-5</v>
      </c>
      <c r="E265" s="133"/>
      <c r="F265" s="133"/>
      <c r="G265" s="133"/>
      <c r="H265" s="133"/>
    </row>
    <row r="266" spans="1:8" ht="13.5" thickBot="1" x14ac:dyDescent="0.25">
      <c r="A266" s="30">
        <f t="shared" si="37"/>
        <v>2026</v>
      </c>
      <c r="B266" s="31" t="s">
        <v>18</v>
      </c>
      <c r="C266" s="249">
        <f>Indeks!H269</f>
        <v>159.33877930519674</v>
      </c>
      <c r="D266" s="250">
        <f t="shared" si="36"/>
        <v>7.1292712970488767E-5</v>
      </c>
      <c r="E266" s="251">
        <f>(SUM(C264:C266)-SUM(C261:C263))/SUM(C261:C263)</f>
        <v>6.3511723982959149E-3</v>
      </c>
      <c r="F266" s="251">
        <f>(SUM(C261:C266)-SUM(C255:C260))/SUM(C255:C260)</f>
        <v>1.269728117811914E-2</v>
      </c>
      <c r="G266" s="251">
        <f>(SUM(C255:C266)-SUM(C243:C254))/SUM(C243:C254)</f>
        <v>2.5615857316801462E-2</v>
      </c>
      <c r="H266" s="252">
        <f>(C255+C256+C257+C258+C259+C260+C261+C262+C263+C264+C265+C266)/12</f>
        <v>157.82897951167479</v>
      </c>
    </row>
  </sheetData>
  <pageMargins left="0.74803149606299213" right="0.74803149606299213" top="0.78740157480314965" bottom="0.39370078740157483" header="0" footer="0"/>
  <pageSetup paperSize="9" fitToHeight="0" orientation="portrait" r:id="rId1"/>
  <headerFooter alignWithMargins="0">
    <oddHeader>&amp;L&amp;G&amp;R&amp;14
&amp;"Arial,Fed"HVO&amp;"Arial,Normal" &amp;"Arial,Fed"Omkostningsindeks</oddHeader>
    <oddFooter>&amp;L&amp;D&amp;RKontaktinformation: FynBus (HNB/JNB)</oddFooter>
  </headerFooter>
  <ignoredErrors>
    <ignoredError sqref="D3:D86 C3:C8 A39 A51 A63 A75" calculatedColumn="1"/>
  </ignoredError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3">
    <pageSetUpPr fitToPage="1"/>
  </sheetPr>
  <dimension ref="A1:Z129"/>
  <sheetViews>
    <sheetView zoomScaleNormal="100" workbookViewId="0">
      <selection activeCell="M259" sqref="M259"/>
    </sheetView>
  </sheetViews>
  <sheetFormatPr defaultRowHeight="12.75" x14ac:dyDescent="0.2"/>
  <cols>
    <col min="1" max="1" width="12.140625" customWidth="1"/>
    <col min="2" max="2" width="53.42578125" customWidth="1"/>
    <col min="3" max="3" width="13.140625" customWidth="1"/>
    <col min="4" max="4" width="12.140625" customWidth="1"/>
    <col min="5" max="5" width="6.85546875" customWidth="1"/>
    <col min="7" max="7" width="20.42578125" customWidth="1"/>
    <col min="12" max="12" width="0" hidden="1" customWidth="1"/>
    <col min="13" max="13" width="26" customWidth="1"/>
    <col min="16" max="16" width="12.42578125" customWidth="1"/>
    <col min="17" max="17" width="9" customWidth="1"/>
    <col min="19" max="19" width="11.28515625" bestFit="1" customWidth="1"/>
  </cols>
  <sheetData>
    <row r="1" spans="1:6" ht="15.75" x14ac:dyDescent="0.25">
      <c r="A1" s="60" t="s">
        <v>32</v>
      </c>
    </row>
    <row r="2" spans="1:6" x14ac:dyDescent="0.2">
      <c r="A2" s="5" t="s">
        <v>29</v>
      </c>
      <c r="B2" s="5" t="s">
        <v>105</v>
      </c>
    </row>
    <row r="3" spans="1:6" x14ac:dyDescent="0.2">
      <c r="A3" s="5"/>
      <c r="B3" s="5"/>
    </row>
    <row r="4" spans="1:6" x14ac:dyDescent="0.2">
      <c r="A4" s="2" t="s">
        <v>23</v>
      </c>
      <c r="B4" s="2" t="s">
        <v>24</v>
      </c>
      <c r="C4" s="2" t="s">
        <v>25</v>
      </c>
      <c r="D4" s="2" t="s">
        <v>37</v>
      </c>
      <c r="E4" s="2" t="s">
        <v>28</v>
      </c>
    </row>
    <row r="5" spans="1:6" ht="75.75" x14ac:dyDescent="0.2">
      <c r="A5" s="112" t="s">
        <v>3</v>
      </c>
      <c r="B5" s="141" t="s">
        <v>68</v>
      </c>
      <c r="C5" t="s">
        <v>26</v>
      </c>
      <c r="D5" s="6" t="s">
        <v>38</v>
      </c>
      <c r="E5" s="61">
        <f>Indeks!C160</f>
        <v>0.59936718313663395</v>
      </c>
    </row>
    <row r="6" spans="1:6" ht="26.25" customHeight="1" x14ac:dyDescent="0.2">
      <c r="A6" s="199" t="s">
        <v>76</v>
      </c>
      <c r="B6" s="325" t="s">
        <v>104</v>
      </c>
      <c r="C6" t="s">
        <v>27</v>
      </c>
      <c r="D6" s="6" t="s">
        <v>39</v>
      </c>
      <c r="E6" s="61">
        <f>Indeks!D160</f>
        <v>0.24233755306267946</v>
      </c>
      <c r="F6" s="61"/>
    </row>
    <row r="7" spans="1:6" ht="117" customHeight="1" x14ac:dyDescent="0.2">
      <c r="A7" s="112"/>
      <c r="B7" s="325"/>
      <c r="D7" s="6"/>
      <c r="E7" s="61"/>
      <c r="F7" s="61"/>
    </row>
    <row r="8" spans="1:6" ht="66" customHeight="1" x14ac:dyDescent="0.2">
      <c r="A8" s="112"/>
      <c r="B8" s="216" t="s">
        <v>110</v>
      </c>
      <c r="D8" s="6"/>
      <c r="E8" s="61"/>
      <c r="F8" s="61"/>
    </row>
    <row r="9" spans="1:6" ht="66" customHeight="1" x14ac:dyDescent="0.2">
      <c r="A9" s="112"/>
      <c r="B9" s="326" t="s">
        <v>111</v>
      </c>
      <c r="C9" s="326"/>
      <c r="D9" s="326"/>
      <c r="E9" s="326"/>
      <c r="F9" s="61"/>
    </row>
    <row r="10" spans="1:6" ht="25.5" x14ac:dyDescent="0.2">
      <c r="A10" s="112" t="s">
        <v>5</v>
      </c>
      <c r="B10" s="141" t="s">
        <v>72</v>
      </c>
      <c r="C10" t="s">
        <v>27</v>
      </c>
      <c r="D10" s="6" t="s">
        <v>39</v>
      </c>
      <c r="E10" s="61">
        <f>Indeks!E160</f>
        <v>7.4428691833688568E-2</v>
      </c>
      <c r="F10" s="61"/>
    </row>
    <row r="11" spans="1:6" x14ac:dyDescent="0.2">
      <c r="A11" s="112"/>
      <c r="B11" s="168" t="s">
        <v>73</v>
      </c>
      <c r="D11" s="6"/>
      <c r="E11" s="61"/>
      <c r="F11" s="61"/>
    </row>
    <row r="12" spans="1:6" ht="102" x14ac:dyDescent="0.2">
      <c r="A12" s="112" t="s">
        <v>6</v>
      </c>
      <c r="B12" s="141" t="s">
        <v>117</v>
      </c>
      <c r="C12" t="s">
        <v>27</v>
      </c>
      <c r="D12" s="6" t="s">
        <v>39</v>
      </c>
      <c r="E12" s="61">
        <f>Indeks!F160</f>
        <v>7.7665812432695561E-2</v>
      </c>
    </row>
    <row r="13" spans="1:6" ht="37.5" x14ac:dyDescent="0.2">
      <c r="A13" s="112" t="s">
        <v>7</v>
      </c>
      <c r="B13" s="141" t="s">
        <v>123</v>
      </c>
      <c r="C13" t="s">
        <v>27</v>
      </c>
      <c r="D13" s="6" t="s">
        <v>39</v>
      </c>
      <c r="E13" s="61">
        <f>Indeks!G160</f>
        <v>6.2007595343024731E-3</v>
      </c>
    </row>
    <row r="14" spans="1:6" x14ac:dyDescent="0.2">
      <c r="A14" s="112"/>
      <c r="B14" s="141" t="s">
        <v>122</v>
      </c>
      <c r="D14" s="6"/>
      <c r="E14" s="61"/>
    </row>
    <row r="15" spans="1:6" x14ac:dyDescent="0.2">
      <c r="B15" s="141"/>
    </row>
    <row r="17" spans="17:26" ht="15" customHeight="1" x14ac:dyDescent="0.2"/>
    <row r="26" spans="17:26" ht="14.25" customHeight="1" x14ac:dyDescent="0.2">
      <c r="Y26" s="175"/>
      <c r="Z26" s="175"/>
    </row>
    <row r="27" spans="17:26" x14ac:dyDescent="0.2">
      <c r="Y27" s="175"/>
      <c r="Z27" s="175"/>
    </row>
    <row r="32" spans="17:26" x14ac:dyDescent="0.2">
      <c r="Q32" s="186"/>
      <c r="S32" s="181"/>
    </row>
    <row r="33" spans="2:19" x14ac:dyDescent="0.2">
      <c r="R33" s="181"/>
      <c r="S33" s="181"/>
    </row>
    <row r="34" spans="2:19" x14ac:dyDescent="0.2">
      <c r="R34" s="181"/>
      <c r="S34" s="187"/>
    </row>
    <row r="35" spans="2:19" x14ac:dyDescent="0.2">
      <c r="R35" s="181"/>
      <c r="S35" s="181"/>
    </row>
    <row r="36" spans="2:19" x14ac:dyDescent="0.2">
      <c r="R36" s="181"/>
      <c r="S36" s="181"/>
    </row>
    <row r="37" spans="2:19" x14ac:dyDescent="0.2">
      <c r="S37" s="181"/>
    </row>
    <row r="38" spans="2:19" x14ac:dyDescent="0.2">
      <c r="S38" s="181"/>
    </row>
    <row r="39" spans="2:19" x14ac:dyDescent="0.2">
      <c r="O39" s="172"/>
    </row>
    <row r="40" spans="2:19" x14ac:dyDescent="0.2">
      <c r="O40" s="172"/>
    </row>
    <row r="41" spans="2:19" x14ac:dyDescent="0.2">
      <c r="B41" s="21"/>
      <c r="G41" s="21"/>
    </row>
    <row r="129" spans="6:6" x14ac:dyDescent="0.2">
      <c r="F129" s="11"/>
    </row>
  </sheetData>
  <mergeCells count="2">
    <mergeCell ref="B6:B7"/>
    <mergeCell ref="B9:E9"/>
  </mergeCells>
  <phoneticPr fontId="4" type="noConversion"/>
  <hyperlinks>
    <hyperlink ref="B6" r:id="rId1" display="http://www.svenskkollektivtrafik.se/partnersamverkan/index/hvo-index/" xr:uid="{00000000-0004-0000-0300-000000000000}"/>
    <hyperlink ref="B8" r:id="rId2" xr:uid="{00000000-0004-0000-0300-000001000000}"/>
  </hyperlinks>
  <pageMargins left="0.74803149606299213" right="0.74803149606299213" top="0.78740157480314965" bottom="0.39370078740157483" header="0" footer="0"/>
  <pageSetup paperSize="9" scale="69" fitToHeight="0" orientation="portrait" r:id="rId3"/>
  <headerFooter alignWithMargins="0">
    <oddHeader>&amp;L&amp;G&amp;R&amp;14
&amp;"Arial,Fed"HVO&amp;"Arial,Normal" &amp;"Arial,Fed"Omkostningsindeks</oddHeader>
    <oddFooter>&amp;L&amp;D&amp;RKontaktinformation: FynBus (HNB/JNB)</oddFooter>
  </headerFooter>
  <drawing r:id="rId4"/>
  <legacy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K7"/>
  <sheetViews>
    <sheetView workbookViewId="0">
      <selection activeCell="A4" sqref="A4"/>
    </sheetView>
  </sheetViews>
  <sheetFormatPr defaultRowHeight="12.75" x14ac:dyDescent="0.2"/>
  <cols>
    <col min="1" max="1" width="47" customWidth="1"/>
    <col min="2" max="2" width="11.42578125" customWidth="1"/>
    <col min="3" max="8" width="6.140625" customWidth="1"/>
    <col min="9" max="9" width="7.42578125" customWidth="1"/>
  </cols>
  <sheetData>
    <row r="2" spans="1:11" x14ac:dyDescent="0.2">
      <c r="A2" s="2" t="s">
        <v>57</v>
      </c>
    </row>
    <row r="3" spans="1:11" x14ac:dyDescent="0.2">
      <c r="A3" s="143"/>
      <c r="B3" s="143" t="s">
        <v>2</v>
      </c>
      <c r="C3" s="143" t="s">
        <v>48</v>
      </c>
      <c r="D3" s="143" t="s">
        <v>49</v>
      </c>
      <c r="E3" s="143" t="s">
        <v>50</v>
      </c>
      <c r="F3" s="143" t="s">
        <v>52</v>
      </c>
      <c r="G3" s="143" t="s">
        <v>53</v>
      </c>
      <c r="H3" s="143" t="s">
        <v>59</v>
      </c>
      <c r="I3" s="150" t="s">
        <v>62</v>
      </c>
      <c r="J3" s="150" t="s">
        <v>61</v>
      </c>
      <c r="K3" s="150" t="s">
        <v>63</v>
      </c>
    </row>
    <row r="4" spans="1:11" x14ac:dyDescent="0.2">
      <c r="A4" s="143"/>
      <c r="B4" s="143" t="s">
        <v>51</v>
      </c>
      <c r="C4" s="143" t="s">
        <v>50</v>
      </c>
      <c r="D4" s="143" t="s">
        <v>52</v>
      </c>
      <c r="E4" s="143" t="s">
        <v>53</v>
      </c>
      <c r="F4" s="143" t="s">
        <v>59</v>
      </c>
      <c r="G4" s="143" t="s">
        <v>60</v>
      </c>
      <c r="H4" s="143" t="s">
        <v>61</v>
      </c>
      <c r="I4" s="150" t="s">
        <v>63</v>
      </c>
      <c r="J4" s="150" t="s">
        <v>64</v>
      </c>
      <c r="K4" s="151" t="s">
        <v>65</v>
      </c>
    </row>
    <row r="5" spans="1:11" x14ac:dyDescent="0.2">
      <c r="A5" s="143" t="s">
        <v>56</v>
      </c>
      <c r="B5" s="143" t="s">
        <v>54</v>
      </c>
      <c r="C5" s="144">
        <v>99.1</v>
      </c>
      <c r="D5" s="145"/>
      <c r="E5" s="145"/>
      <c r="F5" s="145"/>
      <c r="G5" s="145"/>
      <c r="H5" s="145"/>
      <c r="I5" s="145"/>
      <c r="J5" s="145"/>
      <c r="K5" s="145"/>
    </row>
    <row r="6" spans="1:11" x14ac:dyDescent="0.2">
      <c r="A6" s="148" t="s">
        <v>57</v>
      </c>
      <c r="B6" s="143" t="s">
        <v>55</v>
      </c>
      <c r="C6" s="146">
        <v>100.2</v>
      </c>
      <c r="D6" s="146">
        <v>100</v>
      </c>
      <c r="E6" s="146">
        <v>100.2</v>
      </c>
      <c r="F6" s="146">
        <v>99.9</v>
      </c>
      <c r="G6" s="146">
        <v>99.8</v>
      </c>
      <c r="H6" s="146">
        <v>100</v>
      </c>
      <c r="I6" s="146">
        <v>100.1</v>
      </c>
      <c r="J6" s="146">
        <v>100</v>
      </c>
      <c r="K6" s="146">
        <v>100</v>
      </c>
    </row>
    <row r="7" spans="1:11" x14ac:dyDescent="0.2">
      <c r="A7" s="143" t="s">
        <v>58</v>
      </c>
      <c r="B7" s="143" t="s">
        <v>54</v>
      </c>
      <c r="C7" s="145">
        <f>+C5/C6</f>
        <v>0.98902195608782428</v>
      </c>
      <c r="D7" s="147">
        <f t="shared" ref="D7:J7" si="0">+$C7*D6</f>
        <v>98.902195608782435</v>
      </c>
      <c r="E7" s="147">
        <f t="shared" si="0"/>
        <v>99.1</v>
      </c>
      <c r="F7" s="147">
        <f t="shared" si="0"/>
        <v>98.803293413173648</v>
      </c>
      <c r="G7" s="147">
        <f t="shared" si="0"/>
        <v>98.704391217564861</v>
      </c>
      <c r="H7" s="147">
        <f t="shared" si="0"/>
        <v>98.902195608782435</v>
      </c>
      <c r="I7" s="147">
        <f t="shared" si="0"/>
        <v>99.001097804391208</v>
      </c>
      <c r="J7" s="147">
        <f t="shared" si="0"/>
        <v>98.902195608782435</v>
      </c>
      <c r="K7" s="147">
        <f>+$C7*K6</f>
        <v>98.902195608782435</v>
      </c>
    </row>
  </sheetData>
  <pageMargins left="0.7" right="0.7" top="0.75" bottom="0.75" header="0.3" footer="0.3"/>
  <pageSetup paperSize="9" scale="6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139"/>
  <sheetViews>
    <sheetView view="pageBreakPreview" topLeftCell="A106" zoomScale="118" zoomScaleNormal="100" zoomScaleSheetLayoutView="118" workbookViewId="0">
      <selection activeCell="B130" sqref="B130"/>
    </sheetView>
  </sheetViews>
  <sheetFormatPr defaultRowHeight="12.75" x14ac:dyDescent="0.2"/>
  <cols>
    <col min="1" max="1" width="20.7109375" bestFit="1" customWidth="1"/>
    <col min="6" max="6" width="1.140625" customWidth="1"/>
    <col min="7" max="7" width="22.5703125" bestFit="1" customWidth="1"/>
    <col min="8" max="13" width="9.5703125" bestFit="1" customWidth="1"/>
    <col min="14" max="14" width="10.5703125" bestFit="1" customWidth="1"/>
  </cols>
  <sheetData>
    <row r="1" spans="1:14" x14ac:dyDescent="0.2">
      <c r="A1" s="329" t="s">
        <v>106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</row>
    <row r="2" spans="1:14" ht="13.5" thickBot="1" x14ac:dyDescent="0.25">
      <c r="A2" s="331"/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</row>
    <row r="3" spans="1:14" x14ac:dyDescent="0.2">
      <c r="A3" s="200" t="s">
        <v>103</v>
      </c>
      <c r="B3" s="48"/>
      <c r="C3" s="49"/>
      <c r="D3" s="49"/>
      <c r="E3" s="49"/>
      <c r="F3" s="49"/>
      <c r="G3" s="142" t="s">
        <v>79</v>
      </c>
      <c r="H3" s="114"/>
      <c r="I3" s="142"/>
      <c r="J3" s="114"/>
      <c r="K3" s="142"/>
      <c r="L3" s="49"/>
      <c r="M3" s="49"/>
      <c r="N3" s="189"/>
    </row>
    <row r="4" spans="1:14" ht="15" x14ac:dyDescent="0.25">
      <c r="A4" s="190" t="s">
        <v>80</v>
      </c>
      <c r="G4" s="191" t="s">
        <v>113</v>
      </c>
      <c r="N4" s="192"/>
    </row>
    <row r="5" spans="1:14" x14ac:dyDescent="0.2">
      <c r="A5" s="208" t="s">
        <v>81</v>
      </c>
      <c r="B5" s="207" t="s">
        <v>4</v>
      </c>
      <c r="C5" s="207" t="s">
        <v>76</v>
      </c>
      <c r="D5" s="207" t="s">
        <v>82</v>
      </c>
      <c r="G5" s="227" t="s">
        <v>83</v>
      </c>
      <c r="H5" s="225" t="s">
        <v>3</v>
      </c>
      <c r="I5" s="225" t="s">
        <v>4</v>
      </c>
      <c r="J5" s="211" t="s">
        <v>84</v>
      </c>
      <c r="K5" s="225" t="s">
        <v>6</v>
      </c>
      <c r="L5" s="226" t="s">
        <v>7</v>
      </c>
      <c r="M5" s="226" t="s">
        <v>0</v>
      </c>
      <c r="N5" s="192"/>
    </row>
    <row r="6" spans="1:14" x14ac:dyDescent="0.2">
      <c r="A6" s="193" t="s">
        <v>85</v>
      </c>
      <c r="B6">
        <v>3.69</v>
      </c>
      <c r="C6">
        <v>8.1999999999999993</v>
      </c>
      <c r="G6" s="178" t="s">
        <v>28</v>
      </c>
      <c r="H6" s="212">
        <v>0.6</v>
      </c>
      <c r="I6" s="212">
        <v>0.17</v>
      </c>
      <c r="J6" s="212">
        <v>0.08</v>
      </c>
      <c r="K6" s="212">
        <v>0.09</v>
      </c>
      <c r="L6" s="179">
        <v>0.06</v>
      </c>
      <c r="M6" s="179"/>
      <c r="N6" s="192"/>
    </row>
    <row r="7" spans="1:14" x14ac:dyDescent="0.2">
      <c r="A7" s="193" t="s">
        <v>86</v>
      </c>
      <c r="B7" s="21">
        <f>B6*0.25</f>
        <v>0.92249999999999999</v>
      </c>
      <c r="C7" s="21">
        <f>C6*0.25</f>
        <v>2.0499999999999998</v>
      </c>
      <c r="G7" s="180" t="s">
        <v>87</v>
      </c>
      <c r="H7" s="178">
        <f>+Indeks!C40</f>
        <v>108.6</v>
      </c>
      <c r="I7" s="178">
        <f>+Indeks!D40</f>
        <v>142.80000000000001</v>
      </c>
      <c r="J7" s="178">
        <f>+Indeks!E40</f>
        <v>115.5</v>
      </c>
      <c r="K7" s="178">
        <f>+Indeks!F40</f>
        <v>97.1</v>
      </c>
      <c r="L7" s="178">
        <f>+Indeks!G40</f>
        <v>4.7699999999999996</v>
      </c>
      <c r="M7" s="184">
        <v>100</v>
      </c>
      <c r="N7" s="192"/>
    </row>
    <row r="8" spans="1:14" x14ac:dyDescent="0.2">
      <c r="A8" s="193" t="s">
        <v>88</v>
      </c>
      <c r="B8">
        <v>2.7109999999999999</v>
      </c>
      <c r="C8" s="21">
        <f>C17*C18</f>
        <v>2.594592</v>
      </c>
      <c r="G8" s="180" t="s">
        <v>89</v>
      </c>
      <c r="H8" s="231">
        <v>134.24229</v>
      </c>
      <c r="I8" s="229">
        <v>146.1404208194906</v>
      </c>
      <c r="J8" s="232">
        <v>132.96893787575152</v>
      </c>
      <c r="K8" s="231">
        <v>103.68702807357212</v>
      </c>
      <c r="L8" s="231">
        <v>0.61</v>
      </c>
      <c r="M8" s="229">
        <v>111.15248364784418</v>
      </c>
      <c r="N8" s="192"/>
    </row>
    <row r="9" spans="1:14" x14ac:dyDescent="0.2">
      <c r="A9" s="193" t="s">
        <v>90</v>
      </c>
      <c r="B9">
        <v>0.43</v>
      </c>
      <c r="G9" s="182" t="s">
        <v>91</v>
      </c>
      <c r="H9" s="183">
        <f>+(H8/H7*H6)/$M$8*100</f>
        <v>0.66725464529161005</v>
      </c>
      <c r="I9" s="183">
        <f>+(I8/I7*I6)/$M$8*100</f>
        <v>0.1565207413655024</v>
      </c>
      <c r="J9" s="183">
        <f>+(J8/J7*J6)/$M$8*100</f>
        <v>8.2858874770401103E-2</v>
      </c>
      <c r="K9" s="183">
        <f>+(K8/K7*K6)/$M$8*100</f>
        <v>8.6462648580226426E-2</v>
      </c>
      <c r="L9" s="230">
        <f>+(L8/L7*L6)/$M$8*100</f>
        <v>6.9030899922600027E-3</v>
      </c>
      <c r="M9" s="188">
        <v>1</v>
      </c>
      <c r="N9" s="192"/>
    </row>
    <row r="10" spans="1:14" x14ac:dyDescent="0.2">
      <c r="A10" s="193" t="s">
        <v>92</v>
      </c>
      <c r="B10">
        <v>8.9999999999999993E-3</v>
      </c>
      <c r="G10" s="228" t="s">
        <v>93</v>
      </c>
      <c r="H10" s="225" t="s">
        <v>3</v>
      </c>
      <c r="I10" s="225" t="s">
        <v>76</v>
      </c>
      <c r="J10" s="211" t="s">
        <v>84</v>
      </c>
      <c r="K10" s="225" t="s">
        <v>6</v>
      </c>
      <c r="L10" s="226" t="s">
        <v>7</v>
      </c>
      <c r="M10" s="220"/>
      <c r="N10" s="192"/>
    </row>
    <row r="11" spans="1:14" x14ac:dyDescent="0.2">
      <c r="A11" s="193" t="s">
        <v>94</v>
      </c>
      <c r="B11">
        <f>SUM(B6:B10)</f>
        <v>7.7624999999999993</v>
      </c>
      <c r="C11" s="21">
        <f>SUM(C6:C10)</f>
        <v>12.844592</v>
      </c>
      <c r="G11" s="184" t="s">
        <v>28</v>
      </c>
      <c r="H11" s="236">
        <v>0.6</v>
      </c>
      <c r="I11" s="236">
        <v>0.17</v>
      </c>
      <c r="J11" s="236">
        <v>0.08</v>
      </c>
      <c r="K11" s="236">
        <v>0.09</v>
      </c>
      <c r="L11" s="236">
        <v>0.06</v>
      </c>
      <c r="M11" s="235"/>
      <c r="N11" s="192"/>
    </row>
    <row r="12" spans="1:14" x14ac:dyDescent="0.2">
      <c r="A12" s="193" t="s">
        <v>95</v>
      </c>
      <c r="B12">
        <v>1</v>
      </c>
      <c r="C12" s="21">
        <v>0.96</v>
      </c>
      <c r="G12" s="180" t="s">
        <v>87</v>
      </c>
      <c r="H12" s="180">
        <f>+H7</f>
        <v>108.6</v>
      </c>
      <c r="I12" s="231">
        <f>+I7</f>
        <v>142.80000000000001</v>
      </c>
      <c r="J12" s="180">
        <f>+J7</f>
        <v>115.5</v>
      </c>
      <c r="K12" s="180">
        <f>+K7</f>
        <v>97.1</v>
      </c>
      <c r="L12" s="231">
        <f>+L7</f>
        <v>4.7699999999999996</v>
      </c>
      <c r="M12" s="185">
        <v>100</v>
      </c>
      <c r="N12" s="192"/>
    </row>
    <row r="13" spans="1:14" ht="15" x14ac:dyDescent="0.25">
      <c r="A13" s="193" t="s">
        <v>96</v>
      </c>
      <c r="B13" s="194">
        <f>B11/B12</f>
        <v>7.7624999999999993</v>
      </c>
      <c r="C13" s="194">
        <f>C11/C12</f>
        <v>13.379783333333334</v>
      </c>
      <c r="D13" s="195">
        <f>+C13/B13-1</f>
        <v>0.7236435856146004</v>
      </c>
      <c r="G13" s="180" t="s">
        <v>89</v>
      </c>
      <c r="H13" s="231">
        <f>+H8</f>
        <v>134.24229</v>
      </c>
      <c r="I13" s="234">
        <f>+C13/B13*I8</f>
        <v>251.89399894453337</v>
      </c>
      <c r="J13" s="231">
        <f>+J8</f>
        <v>132.96893787575152</v>
      </c>
      <c r="K13" s="231">
        <f>+K8</f>
        <v>103.68702807357212</v>
      </c>
      <c r="L13" s="231">
        <f>+L8</f>
        <v>0.61</v>
      </c>
      <c r="M13" s="229">
        <f>+Indeks!H163</f>
        <v>123.74219532939689</v>
      </c>
      <c r="N13" s="192"/>
    </row>
    <row r="14" spans="1:14" x14ac:dyDescent="0.2">
      <c r="A14" s="193" t="s">
        <v>98</v>
      </c>
      <c r="C14" s="21">
        <f>C13-B13</f>
        <v>5.6172833333333347</v>
      </c>
      <c r="G14" s="182" t="s">
        <v>91</v>
      </c>
      <c r="H14" s="233">
        <f>+(H13/H12*H11)/$M$13*100</f>
        <v>0.59936718313663395</v>
      </c>
      <c r="I14" s="233">
        <f>+(I13/I12*I11)/$M$13*100</f>
        <v>0.24233755306267946</v>
      </c>
      <c r="J14" s="233">
        <f>+(J13/J12*J11)/$M$13*100</f>
        <v>7.4428691833688568E-2</v>
      </c>
      <c r="K14" s="233">
        <f>+(K13/K12*K11)/$M$13*100</f>
        <v>7.7665812432695561E-2</v>
      </c>
      <c r="L14" s="233">
        <f>+(L13/L12*L11)/$M$13*100</f>
        <v>6.2007595343024731E-3</v>
      </c>
      <c r="M14" s="214">
        <f>H14+I14+J14+K14+L14</f>
        <v>1</v>
      </c>
      <c r="N14" s="192"/>
    </row>
    <row r="15" spans="1:14" x14ac:dyDescent="0.2">
      <c r="A15" s="193" t="s">
        <v>99</v>
      </c>
      <c r="C15" s="21"/>
      <c r="N15" s="192"/>
    </row>
    <row r="16" spans="1:14" ht="13.15" customHeight="1" x14ac:dyDescent="0.2">
      <c r="A16" s="193" t="s">
        <v>100</v>
      </c>
      <c r="C16" s="21"/>
      <c r="G16" s="330" t="s">
        <v>97</v>
      </c>
      <c r="H16" s="330"/>
      <c r="I16" s="330"/>
      <c r="J16" s="330"/>
      <c r="K16" s="330"/>
      <c r="L16" s="330"/>
      <c r="M16" s="330"/>
      <c r="N16" s="192"/>
    </row>
    <row r="17" spans="1:16" x14ac:dyDescent="0.2">
      <c r="A17" s="193" t="s">
        <v>101</v>
      </c>
      <c r="C17">
        <v>34.32</v>
      </c>
      <c r="G17" s="330"/>
      <c r="H17" s="330"/>
      <c r="I17" s="330"/>
      <c r="J17" s="330"/>
      <c r="K17" s="330"/>
      <c r="L17" s="330"/>
      <c r="M17" s="330"/>
      <c r="N17" s="192"/>
    </row>
    <row r="18" spans="1:16" ht="13.5" thickBot="1" x14ac:dyDescent="0.25">
      <c r="A18" s="196" t="s">
        <v>102</v>
      </c>
      <c r="B18" s="31"/>
      <c r="C18" s="31">
        <f>75.6/1000</f>
        <v>7.5600000000000001E-2</v>
      </c>
      <c r="D18" s="31"/>
      <c r="E18" s="31"/>
      <c r="F18" s="31"/>
      <c r="G18" s="31"/>
      <c r="H18" s="31"/>
      <c r="I18" s="31"/>
      <c r="J18" s="31"/>
      <c r="K18" s="197"/>
      <c r="L18" s="31"/>
      <c r="M18" s="197"/>
      <c r="N18" s="198"/>
    </row>
    <row r="20" spans="1:16" x14ac:dyDescent="0.2">
      <c r="L20" s="114"/>
      <c r="M20" s="142"/>
      <c r="N20" s="215"/>
      <c r="O20" s="165"/>
      <c r="P20" s="165"/>
    </row>
    <row r="21" spans="1:16" hidden="1" x14ac:dyDescent="0.2">
      <c r="A21" s="218"/>
      <c r="B21" s="327" t="s">
        <v>75</v>
      </c>
      <c r="C21" s="327" t="s">
        <v>78</v>
      </c>
      <c r="D21" s="219"/>
      <c r="E21" s="219"/>
      <c r="F21" s="219"/>
      <c r="G21" s="219"/>
      <c r="H21" s="220"/>
    </row>
    <row r="22" spans="1:16" hidden="1" x14ac:dyDescent="0.2">
      <c r="A22" s="221">
        <v>2018</v>
      </c>
      <c r="B22" s="328"/>
      <c r="C22" s="328"/>
      <c r="D22" s="224"/>
      <c r="E22" s="224"/>
      <c r="F22" s="224"/>
      <c r="G22" s="222" t="s">
        <v>112</v>
      </c>
      <c r="H22" s="223" t="s">
        <v>109</v>
      </c>
    </row>
    <row r="23" spans="1:16" hidden="1" x14ac:dyDescent="0.2">
      <c r="A23" s="237" t="s">
        <v>107</v>
      </c>
      <c r="B23">
        <v>120.4</v>
      </c>
      <c r="C23" s="174">
        <f>+((B23/$B$24)*Indeks!$D$163)*(H23/$H$24)</f>
        <v>259.86139518637037</v>
      </c>
      <c r="D23" s="171"/>
      <c r="E23" s="116"/>
      <c r="G23" s="238">
        <v>43024</v>
      </c>
      <c r="H23" s="239">
        <v>77.63</v>
      </c>
    </row>
    <row r="24" spans="1:16" hidden="1" x14ac:dyDescent="0.2">
      <c r="A24" s="240" t="s">
        <v>108</v>
      </c>
      <c r="B24">
        <v>121.4</v>
      </c>
      <c r="C24" s="171" t="s">
        <v>77</v>
      </c>
      <c r="D24" s="171"/>
      <c r="E24" s="171"/>
      <c r="G24" s="238">
        <v>43054</v>
      </c>
      <c r="H24" s="239">
        <v>74.63</v>
      </c>
    </row>
    <row r="25" spans="1:16" hidden="1" x14ac:dyDescent="0.2">
      <c r="A25" s="237" t="s">
        <v>10</v>
      </c>
      <c r="B25">
        <v>124.8</v>
      </c>
      <c r="C25" s="174">
        <f>+((B25/$B$24)*Indeks!$D$163)*(H25/$H$24)</f>
        <v>259.36506284973615</v>
      </c>
      <c r="G25" s="238">
        <v>43084</v>
      </c>
      <c r="H25" s="239">
        <v>74.75</v>
      </c>
    </row>
    <row r="26" spans="1:16" hidden="1" x14ac:dyDescent="0.2">
      <c r="A26" s="240" t="s">
        <v>11</v>
      </c>
      <c r="B26">
        <v>122.4</v>
      </c>
      <c r="C26" s="174">
        <f>+((B26/$B$24)*Indeks!$D$163)*(H26/$H$24)</f>
        <v>257.81434402786124</v>
      </c>
      <c r="G26" s="238">
        <v>43115</v>
      </c>
      <c r="H26" s="239">
        <v>75.760000000000005</v>
      </c>
    </row>
    <row r="27" spans="1:16" hidden="1" x14ac:dyDescent="0.2">
      <c r="A27" s="237" t="s">
        <v>12</v>
      </c>
      <c r="B27">
        <v>122.7</v>
      </c>
      <c r="C27" s="174">
        <f>+((B27/$B$24)*Indeks!$D$163)*(H27/$H$24)</f>
        <v>256.22884413086132</v>
      </c>
      <c r="G27" s="238">
        <v>43146</v>
      </c>
      <c r="H27" s="239">
        <v>75.11</v>
      </c>
    </row>
    <row r="28" spans="1:16" hidden="1" x14ac:dyDescent="0.2">
      <c r="A28" s="240" t="s">
        <v>13</v>
      </c>
      <c r="B28">
        <v>128.6</v>
      </c>
      <c r="C28" s="174">
        <f>+((B28/$B$24)*Indeks!$D$163)*(H28/$H$24)</f>
        <v>263.82999648571183</v>
      </c>
      <c r="G28" s="238">
        <v>43174</v>
      </c>
      <c r="H28" s="239">
        <v>73.790000000000006</v>
      </c>
    </row>
    <row r="29" spans="1:16" hidden="1" x14ac:dyDescent="0.2">
      <c r="A29" s="237" t="s">
        <v>30</v>
      </c>
      <c r="B29">
        <v>133.69999999999999</v>
      </c>
      <c r="C29" s="174">
        <f>+((B29/$B$24)*Indeks!$D$163)*(H29/$H$24)</f>
        <v>266.07789375669279</v>
      </c>
      <c r="G29" s="238">
        <v>43206</v>
      </c>
      <c r="H29" s="239">
        <v>71.58</v>
      </c>
    </row>
    <row r="30" spans="1:16" hidden="1" x14ac:dyDescent="0.2">
      <c r="A30" s="237" t="s">
        <v>14</v>
      </c>
      <c r="B30" s="11">
        <v>133</v>
      </c>
      <c r="C30">
        <f>+((B30/$B$24)*Indeks!$D$163)*(H30/$H$24)</f>
        <v>267.60603685274725</v>
      </c>
      <c r="G30" s="238">
        <v>43235</v>
      </c>
      <c r="H30" s="239">
        <v>72.37</v>
      </c>
    </row>
    <row r="31" spans="1:16" hidden="1" x14ac:dyDescent="0.2">
      <c r="A31" s="240" t="s">
        <v>15</v>
      </c>
      <c r="B31">
        <v>139.19999999999999</v>
      </c>
      <c r="C31" s="243">
        <f>+((B31/$B$24)*Indeks!$D$163)*(H31/$H$24)</f>
        <v>283.48661423131045</v>
      </c>
      <c r="G31" s="238">
        <v>43266</v>
      </c>
      <c r="H31" s="239">
        <v>73.25</v>
      </c>
    </row>
    <row r="32" spans="1:16" hidden="1" x14ac:dyDescent="0.2">
      <c r="A32" s="240" t="s">
        <v>16</v>
      </c>
      <c r="B32">
        <v>141.5</v>
      </c>
      <c r="C32" s="243">
        <f>+((B32/$B$24)*Indeks!$D$163)*(H32/$H$24)</f>
        <v>283.80384210275332</v>
      </c>
      <c r="G32" s="238">
        <v>43297</v>
      </c>
      <c r="H32" s="239">
        <v>72.14</v>
      </c>
    </row>
    <row r="33" spans="1:8" hidden="1" x14ac:dyDescent="0.2">
      <c r="A33" s="240" t="s">
        <v>17</v>
      </c>
      <c r="B33">
        <v>144.1</v>
      </c>
      <c r="C33" s="243">
        <f>+((B33/$B$24)*Indeks!$D$163)*(H33/$H$24)</f>
        <v>287.1756880092247</v>
      </c>
      <c r="G33" s="238">
        <v>43327</v>
      </c>
      <c r="H33" s="239">
        <v>71.680000000000007</v>
      </c>
    </row>
    <row r="34" spans="1:8" hidden="1" x14ac:dyDescent="0.2">
      <c r="A34" s="241" t="s">
        <v>18</v>
      </c>
      <c r="B34" s="13">
        <v>148.4</v>
      </c>
      <c r="C34" s="245">
        <f>+((B34/$B$24)*Indeks!$D$163)*(H34/$H$24)</f>
        <v>291.82550905493702</v>
      </c>
      <c r="D34" s="13"/>
      <c r="E34" s="13"/>
      <c r="F34" s="13"/>
      <c r="G34" s="244">
        <v>43357</v>
      </c>
      <c r="H34" s="242">
        <v>70.73</v>
      </c>
    </row>
    <row r="36" spans="1:8" ht="12.75" hidden="1" customHeight="1" x14ac:dyDescent="0.2">
      <c r="A36" s="218"/>
      <c r="B36" s="327" t="s">
        <v>75</v>
      </c>
      <c r="C36" s="327" t="s">
        <v>78</v>
      </c>
      <c r="D36" s="219"/>
      <c r="E36" s="219"/>
      <c r="F36" s="219"/>
      <c r="G36" s="219"/>
      <c r="H36" s="220"/>
    </row>
    <row r="37" spans="1:8" hidden="1" x14ac:dyDescent="0.2">
      <c r="A37" s="221">
        <v>2019</v>
      </c>
      <c r="B37" s="328"/>
      <c r="C37" s="328"/>
      <c r="D37" s="224"/>
      <c r="E37" s="224"/>
      <c r="F37" s="224"/>
      <c r="G37" s="222" t="s">
        <v>112</v>
      </c>
      <c r="H37" s="223" t="s">
        <v>109</v>
      </c>
    </row>
    <row r="38" spans="1:8" hidden="1" x14ac:dyDescent="0.2">
      <c r="A38" s="237" t="s">
        <v>107</v>
      </c>
      <c r="B38" s="11">
        <v>146</v>
      </c>
      <c r="C38" s="174">
        <f>+((B38/$B$24)*Indeks!$D$163)*(H38/$H$24)</f>
        <v>291.40869220579856</v>
      </c>
      <c r="D38" s="171"/>
      <c r="E38" s="116"/>
      <c r="G38" s="238">
        <v>43388</v>
      </c>
      <c r="H38" s="239">
        <v>71.790000000000006</v>
      </c>
    </row>
    <row r="39" spans="1:8" hidden="1" x14ac:dyDescent="0.2">
      <c r="A39" s="240" t="s">
        <v>108</v>
      </c>
      <c r="B39">
        <v>138.1</v>
      </c>
      <c r="C39" s="174">
        <f>+((B39/$B$24)*Indeks!$D$163)*(H39/$H$24)</f>
        <v>279.36504292770275</v>
      </c>
      <c r="D39" s="171"/>
      <c r="E39" s="171"/>
      <c r="G39" s="238">
        <v>43419</v>
      </c>
      <c r="H39" s="239">
        <v>72.760000000000005</v>
      </c>
    </row>
    <row r="40" spans="1:8" hidden="1" x14ac:dyDescent="0.2">
      <c r="A40" s="237" t="s">
        <v>10</v>
      </c>
      <c r="B40" s="11">
        <v>136</v>
      </c>
      <c r="C40" s="174">
        <f>+((B40/$B$24)*Indeks!$D$163)*(H40/$H$24)</f>
        <v>275.1169141069339</v>
      </c>
      <c r="G40" s="238">
        <v>43448</v>
      </c>
      <c r="H40" s="239">
        <v>72.760000000000005</v>
      </c>
    </row>
    <row r="41" spans="1:8" hidden="1" x14ac:dyDescent="0.2">
      <c r="A41" s="240" t="s">
        <v>11</v>
      </c>
      <c r="B41" s="11">
        <v>140.5</v>
      </c>
      <c r="C41" s="174">
        <f>+((B41/$B$24)*Indeks!$D$163)*(H41/$H$24)</f>
        <v>284.72786211216618</v>
      </c>
      <c r="G41" s="246" t="s">
        <v>118</v>
      </c>
      <c r="H41" s="239">
        <v>72.89</v>
      </c>
    </row>
    <row r="42" spans="1:8" hidden="1" x14ac:dyDescent="0.2">
      <c r="A42" s="237" t="s">
        <v>12</v>
      </c>
      <c r="B42" s="11">
        <v>143</v>
      </c>
      <c r="C42" s="174">
        <f>+((B42/$B$24)*Indeks!$D$163)*(H42/$H$24)</f>
        <v>283.03537774108116</v>
      </c>
      <c r="G42" s="238">
        <v>43511</v>
      </c>
      <c r="H42" s="239">
        <v>71.19</v>
      </c>
    </row>
    <row r="43" spans="1:8" hidden="1" x14ac:dyDescent="0.2">
      <c r="A43" s="240" t="s">
        <v>13</v>
      </c>
      <c r="B43" s="11">
        <v>144.9</v>
      </c>
      <c r="C43" s="174">
        <f>+((B43/$B$24)*Indeks!$D$163)*(H43/$H$24)</f>
        <v>286.43341371371372</v>
      </c>
      <c r="G43" s="238">
        <v>43539</v>
      </c>
      <c r="H43" s="248">
        <v>71.099999999999994</v>
      </c>
    </row>
    <row r="44" spans="1:8" hidden="1" x14ac:dyDescent="0.2">
      <c r="A44" s="237" t="s">
        <v>30</v>
      </c>
      <c r="B44" s="11">
        <v>147.69999999999999</v>
      </c>
      <c r="C44" s="174">
        <f>E46+((B44/$B$24)*Indeks!$D$163)*(H44/$H$24)</f>
        <v>292.99497057610245</v>
      </c>
      <c r="G44" s="238">
        <v>43570</v>
      </c>
      <c r="H44" s="239">
        <v>71.349999999999994</v>
      </c>
    </row>
    <row r="45" spans="1:8" hidden="1" x14ac:dyDescent="0.2">
      <c r="A45" s="237" t="s">
        <v>14</v>
      </c>
      <c r="B45" s="11">
        <v>142.19999999999999</v>
      </c>
      <c r="C45" s="174">
        <f>+((B45/$B$24)*Indeks!$D$163)*(H45/$H$24)</f>
        <v>274.21699896733173</v>
      </c>
      <c r="G45" s="247" t="s">
        <v>119</v>
      </c>
      <c r="H45" s="239">
        <v>69.36</v>
      </c>
    </row>
    <row r="46" spans="1:8" hidden="1" x14ac:dyDescent="0.2">
      <c r="A46" s="240" t="s">
        <v>15</v>
      </c>
      <c r="B46" s="11">
        <v>143.4</v>
      </c>
      <c r="C46" s="243">
        <f>+((B46/$B$24)*Indeks!$D$163)*(H46/$H$24)</f>
        <v>279.84018966941676</v>
      </c>
      <c r="G46" s="238">
        <v>43630</v>
      </c>
      <c r="H46" s="239">
        <v>70.19</v>
      </c>
    </row>
    <row r="47" spans="1:8" hidden="1" x14ac:dyDescent="0.2">
      <c r="A47" s="240" t="s">
        <v>16</v>
      </c>
      <c r="B47" s="11">
        <v>141.6</v>
      </c>
      <c r="C47" s="243">
        <f>+((B47/$B$24)*Indeks!$D$163)*(H47/$H$24)</f>
        <v>278.45345068853823</v>
      </c>
      <c r="G47" s="238">
        <v>43661</v>
      </c>
      <c r="H47" s="239">
        <v>70.73</v>
      </c>
    </row>
    <row r="48" spans="1:8" hidden="1" x14ac:dyDescent="0.2">
      <c r="A48" s="240" t="s">
        <v>17</v>
      </c>
      <c r="B48" s="11">
        <v>145.1</v>
      </c>
      <c r="C48" s="243">
        <f>+((B48/$B$24)*Indeks!$D$163)*(H48/$H$24)</f>
        <v>280.41445274432044</v>
      </c>
      <c r="G48" s="238">
        <v>43692</v>
      </c>
      <c r="H48" s="239">
        <v>69.510000000000005</v>
      </c>
    </row>
    <row r="49" spans="1:13" hidden="1" x14ac:dyDescent="0.2">
      <c r="A49" s="241" t="s">
        <v>18</v>
      </c>
      <c r="B49" s="13">
        <v>145.9</v>
      </c>
      <c r="C49" s="245">
        <f>+((B49/$B$24)*Indeks!$D$163)*(H49/$H$24)</f>
        <v>283.8670096508618</v>
      </c>
      <c r="D49" s="13"/>
      <c r="E49" s="13"/>
      <c r="F49" s="13"/>
      <c r="G49" s="244">
        <v>43724</v>
      </c>
      <c r="H49" s="242">
        <v>69.98</v>
      </c>
    </row>
    <row r="50" spans="1:13" hidden="1" x14ac:dyDescent="0.2"/>
    <row r="51" spans="1:13" hidden="1" x14ac:dyDescent="0.2">
      <c r="A51" s="218"/>
      <c r="B51" s="327" t="s">
        <v>75</v>
      </c>
      <c r="C51" s="327" t="s">
        <v>78</v>
      </c>
      <c r="D51" s="219"/>
      <c r="E51" s="219"/>
      <c r="F51" s="219"/>
      <c r="G51" s="219"/>
      <c r="H51" s="220"/>
    </row>
    <row r="52" spans="1:13" hidden="1" x14ac:dyDescent="0.2">
      <c r="A52" s="221">
        <v>2020</v>
      </c>
      <c r="B52" s="328"/>
      <c r="C52" s="328"/>
      <c r="D52" s="224"/>
      <c r="E52" s="224"/>
      <c r="F52" s="224"/>
      <c r="G52" s="222" t="s">
        <v>112</v>
      </c>
      <c r="H52" s="223" t="s">
        <v>109</v>
      </c>
    </row>
    <row r="53" spans="1:13" hidden="1" x14ac:dyDescent="0.2">
      <c r="A53" s="237" t="s">
        <v>107</v>
      </c>
      <c r="B53" s="11">
        <v>145.5</v>
      </c>
      <c r="C53" s="174">
        <f>+((B53/$B$24)*Indeks!$D$163)*(H53/$H$24)</f>
        <v>279.20528908464308</v>
      </c>
      <c r="D53" s="171"/>
      <c r="E53" s="116"/>
      <c r="G53" s="238">
        <v>43753</v>
      </c>
      <c r="H53" s="239">
        <v>69.02</v>
      </c>
    </row>
    <row r="54" spans="1:13" hidden="1" x14ac:dyDescent="0.2">
      <c r="A54" s="240" t="s">
        <v>108</v>
      </c>
      <c r="B54">
        <v>143.6</v>
      </c>
      <c r="C54" s="174">
        <f>+((B54/$B$24)*Indeks!$D$163)*(H54/$H$24)</f>
        <v>280.07078458315442</v>
      </c>
      <c r="D54" s="171"/>
      <c r="E54" s="171"/>
      <c r="G54" s="238">
        <v>43784</v>
      </c>
      <c r="H54" s="239">
        <v>70.150000000000006</v>
      </c>
    </row>
    <row r="55" spans="1:13" hidden="1" x14ac:dyDescent="0.2">
      <c r="A55" s="237" t="s">
        <v>10</v>
      </c>
      <c r="B55" s="11">
        <v>150</v>
      </c>
      <c r="C55" s="174">
        <f>+((B55/$B$24)*Indeks!$D$163)*(H55/$H$24)</f>
        <v>299.05886057619267</v>
      </c>
      <c r="G55" s="238">
        <v>43815</v>
      </c>
      <c r="H55" s="239">
        <v>71.709999999999994</v>
      </c>
    </row>
    <row r="56" spans="1:13" hidden="1" x14ac:dyDescent="0.2">
      <c r="A56" s="240" t="s">
        <v>11</v>
      </c>
      <c r="B56" s="11">
        <v>144.6</v>
      </c>
      <c r="C56" s="174">
        <f>+((B56/$B$24)*Indeks!$D$163)*(H56/$H$24)</f>
        <v>284.51369854566974</v>
      </c>
      <c r="G56" s="246" t="s">
        <v>120</v>
      </c>
      <c r="H56" s="239">
        <v>70.77</v>
      </c>
    </row>
    <row r="57" spans="1:13" hidden="1" x14ac:dyDescent="0.2">
      <c r="A57" s="237" t="s">
        <v>12</v>
      </c>
      <c r="B57" s="11">
        <v>137.30000000000001</v>
      </c>
      <c r="C57" s="174">
        <f>+((B57/$B$24)*Indeks!$D$163)*(H57/$H$24)</f>
        <v>271.40999104826017</v>
      </c>
      <c r="G57" s="238">
        <v>43875</v>
      </c>
      <c r="H57" s="248">
        <v>71.099999999999994</v>
      </c>
    </row>
    <row r="58" spans="1:13" hidden="1" x14ac:dyDescent="0.2">
      <c r="A58" s="240" t="s">
        <v>13</v>
      </c>
      <c r="B58" s="11">
        <v>130.30000000000001</v>
      </c>
      <c r="C58" s="174">
        <f>+((B58/$B$24)*Indeks!$D$163)*(H58/$H$24)</f>
        <v>248.37101800658405</v>
      </c>
      <c r="G58" s="238">
        <v>43906</v>
      </c>
      <c r="H58" s="248">
        <v>68.56</v>
      </c>
    </row>
    <row r="59" spans="1:13" hidden="1" x14ac:dyDescent="0.2">
      <c r="A59" s="237" t="s">
        <v>30</v>
      </c>
      <c r="B59" s="11">
        <v>126.6</v>
      </c>
      <c r="C59" s="174">
        <f>E61+((B59/$B$24)*Indeks!$D$163)*(H59/$H$24)</f>
        <v>240.29752697443806</v>
      </c>
      <c r="G59" s="238">
        <v>43936</v>
      </c>
      <c r="H59" s="239">
        <v>68.27</v>
      </c>
    </row>
    <row r="60" spans="1:13" hidden="1" x14ac:dyDescent="0.2">
      <c r="A60" s="237" t="s">
        <v>14</v>
      </c>
      <c r="B60" s="11">
        <v>129.30000000000001</v>
      </c>
      <c r="C60" s="174">
        <f>+((B60/$B$24)*Indeks!$D$163)*(H60/$H$24)</f>
        <v>251.2820077169963</v>
      </c>
      <c r="G60" s="247">
        <v>43966</v>
      </c>
      <c r="H60" s="248">
        <v>69.900000000000006</v>
      </c>
    </row>
    <row r="61" spans="1:13" hidden="1" x14ac:dyDescent="0.2">
      <c r="A61" s="240" t="s">
        <v>15</v>
      </c>
      <c r="B61">
        <v>132.80000000000001</v>
      </c>
      <c r="C61" s="243">
        <f>+((B61/$B$24)*Indeks!$D$163)*(H61/$H$24)</f>
        <v>261.18535585579235</v>
      </c>
      <c r="G61" s="238">
        <v>43997</v>
      </c>
      <c r="H61" s="239">
        <v>70.739999999999995</v>
      </c>
    </row>
    <row r="62" spans="1:13" hidden="1" x14ac:dyDescent="0.2">
      <c r="A62" s="240" t="s">
        <v>16</v>
      </c>
      <c r="B62">
        <v>130.6</v>
      </c>
      <c r="C62" s="243">
        <f>+((B62/$B$24)*Indeks!$D$163)*(H62/$H$24)</f>
        <v>261.32464697199993</v>
      </c>
      <c r="G62" s="238">
        <v>44027</v>
      </c>
      <c r="H62" s="239">
        <v>71.97</v>
      </c>
    </row>
    <row r="63" spans="1:13" hidden="1" x14ac:dyDescent="0.2">
      <c r="A63" s="240" t="s">
        <v>17</v>
      </c>
      <c r="B63" s="11">
        <v>129.9</v>
      </c>
      <c r="C63" s="243">
        <f>+((B63/$B$24)*Indeks!$D$163)*(H63/$H$24)</f>
        <v>261.29637170948837</v>
      </c>
      <c r="G63" s="238">
        <v>44057</v>
      </c>
      <c r="H63" s="239">
        <v>72.349999999999994</v>
      </c>
    </row>
    <row r="64" spans="1:13" hidden="1" x14ac:dyDescent="0.2">
      <c r="A64" s="241" t="s">
        <v>18</v>
      </c>
      <c r="B64" s="13">
        <v>129.4</v>
      </c>
      <c r="C64" s="245">
        <f>+((B64/$B$24)*Indeks!$D$163)*(H64/$H$24)</f>
        <v>257.26857863641322</v>
      </c>
      <c r="D64" s="13"/>
      <c r="E64" s="13"/>
      <c r="F64" s="13"/>
      <c r="G64" s="244">
        <v>44089</v>
      </c>
      <c r="H64" s="242">
        <v>71.510000000000005</v>
      </c>
      <c r="L64" s="265"/>
      <c r="M64" s="243"/>
    </row>
    <row r="65" spans="1:14" hidden="1" x14ac:dyDescent="0.2">
      <c r="L65" s="21"/>
    </row>
    <row r="66" spans="1:14" hidden="1" x14ac:dyDescent="0.2">
      <c r="A66" s="218"/>
      <c r="B66" s="327" t="s">
        <v>75</v>
      </c>
      <c r="C66" s="327" t="s">
        <v>78</v>
      </c>
      <c r="D66" s="219"/>
      <c r="E66" s="219"/>
      <c r="F66" s="219"/>
      <c r="G66" s="219"/>
      <c r="H66" s="220"/>
    </row>
    <row r="67" spans="1:14" hidden="1" x14ac:dyDescent="0.2">
      <c r="A67" s="221">
        <v>2021</v>
      </c>
      <c r="B67" s="328"/>
      <c r="C67" s="328"/>
      <c r="D67" s="224"/>
      <c r="E67" s="224"/>
      <c r="F67" s="224"/>
      <c r="G67" s="222" t="s">
        <v>112</v>
      </c>
      <c r="H67" s="223" t="s">
        <v>109</v>
      </c>
    </row>
    <row r="68" spans="1:14" hidden="1" x14ac:dyDescent="0.2">
      <c r="A68" s="237" t="s">
        <v>107</v>
      </c>
      <c r="B68" s="11">
        <v>130.1</v>
      </c>
      <c r="C68" s="174">
        <f>+((B68/$B$24)*Indeks!$D$163)*(H68/$H$24)</f>
        <v>259.41988961244294</v>
      </c>
      <c r="D68" s="171"/>
      <c r="E68" s="116"/>
      <c r="G68" s="238">
        <v>44119</v>
      </c>
      <c r="H68" s="239">
        <v>71.72</v>
      </c>
    </row>
    <row r="69" spans="1:14" hidden="1" x14ac:dyDescent="0.2">
      <c r="A69" s="240" t="s">
        <v>108</v>
      </c>
      <c r="B69">
        <v>133.6</v>
      </c>
      <c r="C69" s="174">
        <f>+((B69/$B$24)*Indeks!$D$163)*(H69/$H$24)</f>
        <v>269.81617816847665</v>
      </c>
      <c r="D69" s="171"/>
      <c r="E69" s="171"/>
      <c r="G69" s="238">
        <v>44151</v>
      </c>
      <c r="H69" s="239">
        <v>72.64</v>
      </c>
    </row>
    <row r="70" spans="1:14" hidden="1" x14ac:dyDescent="0.2">
      <c r="A70" s="237" t="s">
        <v>10</v>
      </c>
      <c r="B70" s="11">
        <v>138.69999999999999</v>
      </c>
      <c r="C70" s="174">
        <f>+((B70/$B$24)*Indeks!$D$163)*(H70/$H$24)</f>
        <v>281.58141202986536</v>
      </c>
      <c r="G70" s="238">
        <v>44180</v>
      </c>
      <c r="H70" s="239">
        <v>73.02</v>
      </c>
      <c r="N70" s="11"/>
    </row>
    <row r="71" spans="1:14" hidden="1" x14ac:dyDescent="0.2">
      <c r="A71" s="240" t="s">
        <v>11</v>
      </c>
      <c r="B71" s="11">
        <v>145.1</v>
      </c>
      <c r="C71" s="174">
        <f>+((B71/$B$24)*Indeks!$D$163)*(H71/$H$24)</f>
        <v>296.22835944490652</v>
      </c>
      <c r="G71" s="246" t="s">
        <v>121</v>
      </c>
      <c r="H71" s="239">
        <v>73.430000000000007</v>
      </c>
    </row>
    <row r="72" spans="1:14" hidden="1" x14ac:dyDescent="0.2">
      <c r="A72" s="237" t="s">
        <v>12</v>
      </c>
      <c r="B72" s="11">
        <v>149.80000000000001</v>
      </c>
      <c r="C72" s="174">
        <f>+((B72/$B$24)*Indeks!$D$163)*(H72/$H$24)</f>
        <v>308.36417440169055</v>
      </c>
      <c r="G72" s="238">
        <v>44242</v>
      </c>
      <c r="H72" s="248">
        <v>74.040000000000006</v>
      </c>
    </row>
    <row r="73" spans="1:14" hidden="1" x14ac:dyDescent="0.2">
      <c r="A73" s="240" t="s">
        <v>13</v>
      </c>
      <c r="B73" s="11">
        <v>148.69999999999999</v>
      </c>
      <c r="C73" s="174">
        <f>+((B73/$B$24)*Indeks!$D$163)*(H73/$H$24)</f>
        <v>301.84154120450944</v>
      </c>
      <c r="G73" s="238">
        <v>44270</v>
      </c>
      <c r="H73" s="248">
        <v>73.010000000000005</v>
      </c>
    </row>
    <row r="74" spans="1:14" hidden="1" x14ac:dyDescent="0.2">
      <c r="A74" s="237" t="s">
        <v>30</v>
      </c>
      <c r="B74" s="11">
        <v>150.5</v>
      </c>
      <c r="C74" s="174">
        <f>E76+((B74/$B$24)*Indeks!$D$163)*(H74/$H$24)</f>
        <v>307.21086620158627</v>
      </c>
      <c r="G74" s="238">
        <v>44301</v>
      </c>
      <c r="H74" s="239">
        <v>73.42</v>
      </c>
    </row>
    <row r="75" spans="1:14" hidden="1" x14ac:dyDescent="0.2">
      <c r="A75" s="237" t="s">
        <v>14</v>
      </c>
      <c r="B75" s="11">
        <v>151.9</v>
      </c>
      <c r="C75" s="174">
        <f>+((B75/$B$24)*Indeks!$D$163)*(H75/$H$24)</f>
        <v>309.26623034287911</v>
      </c>
      <c r="G75" s="247">
        <v>44333</v>
      </c>
      <c r="H75" s="248">
        <v>73.23</v>
      </c>
    </row>
    <row r="76" spans="1:14" hidden="1" x14ac:dyDescent="0.2">
      <c r="A76" s="240" t="s">
        <v>15</v>
      </c>
      <c r="B76" s="11">
        <v>155.69999999999999</v>
      </c>
      <c r="C76" s="243">
        <f>+((B76/$B$24)*Indeks!$D$163)*(H76/$H$24)</f>
        <v>319.16740987747085</v>
      </c>
      <c r="G76" s="238">
        <v>44362</v>
      </c>
      <c r="H76" s="239">
        <v>73.73</v>
      </c>
    </row>
    <row r="77" spans="1:14" hidden="1" x14ac:dyDescent="0.2">
      <c r="A77" s="240" t="s">
        <v>16</v>
      </c>
      <c r="B77" s="11">
        <v>154.30000000000001</v>
      </c>
      <c r="C77" s="243">
        <f>+((B77/$B$24)*Indeks!$D$163)*(H77/$H$24)</f>
        <v>311.79312688554529</v>
      </c>
      <c r="G77" s="238">
        <v>44392</v>
      </c>
      <c r="H77" s="239">
        <v>72.680000000000007</v>
      </c>
    </row>
    <row r="78" spans="1:14" hidden="1" x14ac:dyDescent="0.2">
      <c r="A78" s="240" t="s">
        <v>17</v>
      </c>
      <c r="B78" s="11">
        <v>156.19999999999999</v>
      </c>
      <c r="C78" s="243">
        <f>+((B78/$B$24)*Indeks!$D$163)*(H78/$H$24)</f>
        <v>316.58785517630218</v>
      </c>
      <c r="G78" s="238">
        <v>44424</v>
      </c>
      <c r="H78" s="248">
        <v>72.900000000000006</v>
      </c>
    </row>
    <row r="79" spans="1:14" hidden="1" x14ac:dyDescent="0.2">
      <c r="A79" s="241" t="s">
        <v>18</v>
      </c>
      <c r="B79" s="13">
        <v>166.4</v>
      </c>
      <c r="C79" s="245">
        <f>+((B79/$B$24)*Indeks!$D$163)*(H79/$H$24)</f>
        <v>339.38944946544734</v>
      </c>
      <c r="D79" s="13"/>
      <c r="E79" s="13"/>
      <c r="F79" s="13"/>
      <c r="G79" s="244">
        <v>44454</v>
      </c>
      <c r="H79" s="242">
        <v>73.36</v>
      </c>
    </row>
    <row r="81" spans="1:8" x14ac:dyDescent="0.2">
      <c r="A81" s="218"/>
      <c r="B81" s="327" t="s">
        <v>75</v>
      </c>
      <c r="C81" s="327" t="s">
        <v>78</v>
      </c>
      <c r="D81" s="219"/>
      <c r="E81" s="219"/>
      <c r="F81" s="219"/>
      <c r="G81" s="219"/>
      <c r="H81" s="220"/>
    </row>
    <row r="82" spans="1:8" x14ac:dyDescent="0.2">
      <c r="A82" s="221">
        <v>2022</v>
      </c>
      <c r="B82" s="328"/>
      <c r="C82" s="328"/>
      <c r="D82" s="224"/>
      <c r="E82" s="224"/>
      <c r="F82" s="224"/>
      <c r="G82" s="222" t="s">
        <v>112</v>
      </c>
      <c r="H82" s="223" t="s">
        <v>109</v>
      </c>
    </row>
    <row r="83" spans="1:8" x14ac:dyDescent="0.2">
      <c r="A83" s="237" t="s">
        <v>107</v>
      </c>
      <c r="B83" s="11">
        <v>167.9</v>
      </c>
      <c r="C83" s="174">
        <f>+((B83/$B$24)*Indeks!$D$163)*(H83/$H$24)</f>
        <v>346.3233389881658</v>
      </c>
      <c r="D83" s="171"/>
      <c r="E83" s="116"/>
      <c r="G83" s="238">
        <v>44484</v>
      </c>
      <c r="H83" s="239">
        <v>74.19</v>
      </c>
    </row>
    <row r="84" spans="1:8" x14ac:dyDescent="0.2">
      <c r="A84" s="240" t="s">
        <v>108</v>
      </c>
      <c r="B84" s="11">
        <v>167</v>
      </c>
      <c r="C84" s="174">
        <f>+((B84/$B$24)*Indeks!$D$163)*(H84/$H$24)</f>
        <v>345.07052521821981</v>
      </c>
      <c r="D84" s="171"/>
      <c r="E84" s="171"/>
      <c r="G84" s="238">
        <v>44515</v>
      </c>
      <c r="H84" s="239">
        <v>74.319999999999993</v>
      </c>
    </row>
    <row r="85" spans="1:8" x14ac:dyDescent="0.2">
      <c r="A85" s="237" t="s">
        <v>10</v>
      </c>
      <c r="B85" s="11">
        <v>204.9</v>
      </c>
      <c r="C85" s="174">
        <f>+((B85/$B$24)*Indeks!$D$163)*(H85/$H$24)</f>
        <v>413.01484112624797</v>
      </c>
      <c r="G85" s="238">
        <v>44545</v>
      </c>
      <c r="H85" s="239">
        <v>72.5</v>
      </c>
    </row>
    <row r="86" spans="1:8" x14ac:dyDescent="0.2">
      <c r="A86" s="240" t="s">
        <v>11</v>
      </c>
      <c r="B86" s="11">
        <v>215.4</v>
      </c>
      <c r="C86" s="174">
        <f>+((B86/$B$24)*Indeks!$D$163)*(H86/$H$24)</f>
        <v>433.99992356538559</v>
      </c>
      <c r="G86" s="238">
        <v>44575</v>
      </c>
      <c r="H86" s="239">
        <v>72.47</v>
      </c>
    </row>
    <row r="87" spans="1:8" x14ac:dyDescent="0.2">
      <c r="A87" s="237" t="s">
        <v>12</v>
      </c>
      <c r="B87" s="11">
        <v>248.5</v>
      </c>
      <c r="C87" s="174">
        <f>+((B87/$B$24)*Indeks!$D$163)*(H87/$H$24)</f>
        <v>486.25194142398379</v>
      </c>
      <c r="G87" s="238">
        <v>44607</v>
      </c>
      <c r="H87" s="248">
        <v>70.38</v>
      </c>
    </row>
    <row r="88" spans="1:8" x14ac:dyDescent="0.2">
      <c r="A88" s="240" t="s">
        <v>13</v>
      </c>
      <c r="B88" s="11">
        <v>246.1</v>
      </c>
      <c r="C88" s="174">
        <f>+((B88/$B$24)*Indeks!$D$163)*(H88/$H$24)</f>
        <v>483.67683514169613</v>
      </c>
      <c r="G88" s="238">
        <v>44635</v>
      </c>
      <c r="H88" s="248">
        <v>70.69</v>
      </c>
    </row>
    <row r="89" spans="1:8" x14ac:dyDescent="0.2">
      <c r="A89" s="237" t="s">
        <v>30</v>
      </c>
      <c r="B89" s="11">
        <v>250.3</v>
      </c>
      <c r="C89" s="174">
        <f>E91+((B89/$B$24)*Indeks!$D$163)*(H89/$H$24)</f>
        <v>500.90848074223686</v>
      </c>
      <c r="G89" s="238">
        <v>44664</v>
      </c>
      <c r="H89" s="239">
        <v>71.98</v>
      </c>
    </row>
    <row r="90" spans="1:8" x14ac:dyDescent="0.2">
      <c r="A90" s="237" t="s">
        <v>14</v>
      </c>
      <c r="B90" s="11">
        <v>264.60000000000002</v>
      </c>
      <c r="C90" s="174">
        <f>+((B90/$B$24)*Indeks!$D$163)*(H90/$H$24)</f>
        <v>521.50744042251404</v>
      </c>
      <c r="G90" s="247">
        <v>44697</v>
      </c>
      <c r="H90" s="248">
        <v>70.89</v>
      </c>
    </row>
    <row r="91" spans="1:8" x14ac:dyDescent="0.2">
      <c r="A91" s="240" t="s">
        <v>15</v>
      </c>
      <c r="B91" s="11">
        <v>266</v>
      </c>
      <c r="C91" s="243">
        <f>+((B91/$B$24)*Indeks!$D$163)*(H91/$H$24)</f>
        <v>517.68474726246529</v>
      </c>
      <c r="G91" s="238">
        <v>44727</v>
      </c>
      <c r="H91" s="239">
        <v>70</v>
      </c>
    </row>
    <row r="92" spans="1:8" x14ac:dyDescent="0.2">
      <c r="A92" s="240" t="s">
        <v>16</v>
      </c>
      <c r="B92" s="11">
        <v>245</v>
      </c>
      <c r="C92" s="243">
        <f>+((B92/$B$24)*Indeks!$D$163)*(H92/$H$24)</f>
        <v>478.51780914721309</v>
      </c>
      <c r="G92" s="238">
        <v>44757</v>
      </c>
      <c r="H92" s="239">
        <v>70.25</v>
      </c>
    </row>
    <row r="93" spans="1:8" x14ac:dyDescent="0.2">
      <c r="A93" s="240" t="s">
        <v>17</v>
      </c>
      <c r="B93" s="11">
        <v>255.7</v>
      </c>
      <c r="C93" s="243">
        <f>+((B93/$B$24)*Indeks!$D$163)*(H93/$H$24)</f>
        <v>503.61072839666366</v>
      </c>
      <c r="G93" s="238">
        <v>44788</v>
      </c>
      <c r="H93" s="248">
        <v>70.84</v>
      </c>
    </row>
    <row r="94" spans="1:8" x14ac:dyDescent="0.2">
      <c r="A94" s="241" t="s">
        <v>18</v>
      </c>
      <c r="B94" s="13">
        <v>273.7</v>
      </c>
      <c r="C94" s="245">
        <f>+((B94/$B$24)*Indeks!$D$163)*(H94/$H$24)</f>
        <v>529.39824045174578</v>
      </c>
      <c r="D94" s="13"/>
      <c r="E94" s="13"/>
      <c r="F94" s="13"/>
      <c r="G94" s="244">
        <v>44819</v>
      </c>
      <c r="H94" s="242">
        <v>69.569999999999993</v>
      </c>
    </row>
    <row r="96" spans="1:8" x14ac:dyDescent="0.2">
      <c r="A96" s="218"/>
      <c r="B96" s="327" t="s">
        <v>75</v>
      </c>
      <c r="C96" s="327" t="s">
        <v>78</v>
      </c>
      <c r="D96" s="219"/>
      <c r="E96" s="219"/>
      <c r="F96" s="219"/>
      <c r="G96" s="219"/>
      <c r="H96" s="220"/>
    </row>
    <row r="97" spans="1:8" x14ac:dyDescent="0.2">
      <c r="A97" s="221">
        <v>2023</v>
      </c>
      <c r="B97" s="328"/>
      <c r="C97" s="328"/>
      <c r="D97" s="224"/>
      <c r="E97" s="224"/>
      <c r="F97" s="224"/>
      <c r="G97" s="222" t="s">
        <v>112</v>
      </c>
      <c r="H97" s="223" t="s">
        <v>109</v>
      </c>
    </row>
    <row r="98" spans="1:8" x14ac:dyDescent="0.2">
      <c r="A98" s="237" t="s">
        <v>107</v>
      </c>
      <c r="B98" s="11">
        <v>265</v>
      </c>
      <c r="C98" s="174">
        <f>+((B98/$B$24)*Indeks!$D$163)*(H98/$H$24)</f>
        <v>497.98242201286564</v>
      </c>
      <c r="D98" s="171"/>
      <c r="E98" s="116"/>
      <c r="G98" s="238">
        <v>44848</v>
      </c>
      <c r="H98" s="239">
        <v>67.59</v>
      </c>
    </row>
    <row r="99" spans="1:8" x14ac:dyDescent="0.2">
      <c r="A99" s="240" t="s">
        <v>108</v>
      </c>
      <c r="B99" s="11">
        <v>239.2</v>
      </c>
      <c r="C99" s="174">
        <f>+((B99/$B$24)*Indeks!$D$163)*(H99/$H$24)</f>
        <v>457.74608399864962</v>
      </c>
      <c r="D99" s="171"/>
      <c r="E99" s="171"/>
      <c r="G99" s="238">
        <v>44880</v>
      </c>
      <c r="H99" s="239">
        <v>68.83</v>
      </c>
    </row>
    <row r="100" spans="1:8" x14ac:dyDescent="0.2">
      <c r="A100" s="237" t="s">
        <v>10</v>
      </c>
      <c r="B100" s="11">
        <v>248.4</v>
      </c>
      <c r="C100" s="174">
        <f>+((B100/$B$24)*Indeks!$D$163)*(H100/$H$24)</f>
        <v>471.41518553581926</v>
      </c>
      <c r="G100" s="238">
        <v>44910</v>
      </c>
      <c r="H100" s="239">
        <v>68.260000000000005</v>
      </c>
    </row>
    <row r="101" spans="1:8" x14ac:dyDescent="0.2">
      <c r="A101" s="240" t="s">
        <v>11</v>
      </c>
      <c r="B101" s="11">
        <v>240.1</v>
      </c>
      <c r="C101" s="174">
        <f>+((B101/$B$24)*Indeks!$D$163)*(H101/$H$24)</f>
        <v>440.51021240017207</v>
      </c>
      <c r="G101" s="238">
        <v>44942</v>
      </c>
      <c r="H101" s="239">
        <v>65.989999999999995</v>
      </c>
    </row>
    <row r="102" spans="1:8" x14ac:dyDescent="0.2">
      <c r="A102" s="237" t="s">
        <v>12</v>
      </c>
      <c r="B102" s="11">
        <v>241.5</v>
      </c>
      <c r="C102" s="174">
        <f>+((B102/$B$24)*Indeks!$D$163)*(H102/$H$24)</f>
        <v>449.12168409072461</v>
      </c>
      <c r="G102" s="238">
        <v>44972</v>
      </c>
      <c r="H102" s="248">
        <v>66.89</v>
      </c>
    </row>
    <row r="103" spans="1:8" x14ac:dyDescent="0.2">
      <c r="A103" s="240" t="s">
        <v>13</v>
      </c>
      <c r="B103" s="11">
        <v>236.6</v>
      </c>
      <c r="C103" s="174">
        <f>+((B103/$B$24)*Indeks!$D$163)*(H103/$H$24)</f>
        <v>437.18048745997908</v>
      </c>
      <c r="G103" s="238">
        <v>45000</v>
      </c>
      <c r="H103" s="248">
        <v>66.459999999999994</v>
      </c>
    </row>
    <row r="104" spans="1:8" x14ac:dyDescent="0.2">
      <c r="A104" s="237" t="s">
        <v>30</v>
      </c>
      <c r="B104" s="11">
        <v>225.1</v>
      </c>
      <c r="C104" s="174">
        <f>E106+((B104/$B$24)*Indeks!$D$163)*(H104/$H$24)</f>
        <v>410.98711278725267</v>
      </c>
      <c r="G104" s="238">
        <v>45030</v>
      </c>
      <c r="H104" s="239">
        <v>65.67</v>
      </c>
    </row>
    <row r="105" spans="1:8" x14ac:dyDescent="0.2">
      <c r="A105" s="237" t="s">
        <v>14</v>
      </c>
      <c r="B105" s="11">
        <v>234.5</v>
      </c>
      <c r="C105" s="174">
        <f>+((B105/$B$24)*Indeks!$D$163)*(H105/$H$24)</f>
        <v>430.04033031427787</v>
      </c>
      <c r="G105" s="247">
        <v>45061</v>
      </c>
      <c r="H105" s="248">
        <v>65.959999999999994</v>
      </c>
    </row>
    <row r="106" spans="1:8" x14ac:dyDescent="0.2">
      <c r="A106" s="240" t="s">
        <v>15</v>
      </c>
      <c r="B106" s="11">
        <v>238.2</v>
      </c>
      <c r="C106" s="243">
        <f>+((B106/$B$24)*Indeks!$D$163)*(H106/$H$24)</f>
        <v>424.70628683945006</v>
      </c>
      <c r="G106" s="247">
        <v>45092</v>
      </c>
      <c r="H106" s="239">
        <v>64.13</v>
      </c>
    </row>
    <row r="107" spans="1:8" x14ac:dyDescent="0.2">
      <c r="A107" s="240" t="s">
        <v>16</v>
      </c>
      <c r="B107" s="11">
        <v>251.3</v>
      </c>
      <c r="C107" s="243">
        <f>+((B107/$B$24)*Indeks!$D$163)*(H107/$H$24)</f>
        <v>452.81437220897953</v>
      </c>
      <c r="G107" s="238">
        <v>45121</v>
      </c>
      <c r="H107" s="239">
        <v>64.81</v>
      </c>
    </row>
    <row r="108" spans="1:8" x14ac:dyDescent="0.2">
      <c r="A108" s="240" t="s">
        <v>17</v>
      </c>
      <c r="B108" s="11">
        <v>265</v>
      </c>
      <c r="C108" s="243">
        <f>+((B108/$B$24)*Indeks!$D$163)*(H108/$H$24)</f>
        <v>463.72264597558456</v>
      </c>
      <c r="G108" s="238">
        <v>45153</v>
      </c>
      <c r="H108" s="248">
        <v>62.94</v>
      </c>
    </row>
    <row r="109" spans="1:8" x14ac:dyDescent="0.2">
      <c r="A109" s="241" t="s">
        <v>18</v>
      </c>
      <c r="B109" s="13">
        <v>264.2</v>
      </c>
      <c r="C109" s="245">
        <f>+((B109/$B$24)*Indeks!$D$163)*(H109/$H$24)</f>
        <v>461.36781983575446</v>
      </c>
      <c r="D109" s="13"/>
      <c r="E109" s="13"/>
      <c r="F109" s="13"/>
      <c r="G109" s="244">
        <v>45184</v>
      </c>
      <c r="H109" s="242">
        <v>62.81</v>
      </c>
    </row>
    <row r="111" spans="1:8" x14ac:dyDescent="0.2">
      <c r="A111" s="218"/>
      <c r="B111" s="327" t="s">
        <v>75</v>
      </c>
      <c r="C111" s="327" t="s">
        <v>78</v>
      </c>
      <c r="D111" s="219"/>
      <c r="E111" s="219"/>
      <c r="F111" s="219"/>
      <c r="G111" s="219"/>
      <c r="H111" s="220"/>
    </row>
    <row r="112" spans="1:8" x14ac:dyDescent="0.2">
      <c r="A112" s="221">
        <v>2024</v>
      </c>
      <c r="B112" s="328"/>
      <c r="C112" s="328"/>
      <c r="D112" s="224"/>
      <c r="E112" s="224"/>
      <c r="F112" s="224"/>
      <c r="G112" s="222" t="s">
        <v>112</v>
      </c>
      <c r="H112" s="223" t="s">
        <v>109</v>
      </c>
    </row>
    <row r="113" spans="1:8" x14ac:dyDescent="0.2">
      <c r="A113" s="237" t="s">
        <v>107</v>
      </c>
      <c r="B113" s="11">
        <v>254.1</v>
      </c>
      <c r="C113" s="174">
        <f>+((B113/$B$24)*Indeks!$D$163)*(H113/$H$24)</f>
        <v>456.72931445557043</v>
      </c>
      <c r="D113" s="171"/>
      <c r="E113" s="116"/>
      <c r="G113" s="238">
        <v>45215</v>
      </c>
      <c r="H113" s="239">
        <v>64.650000000000006</v>
      </c>
    </row>
    <row r="114" spans="1:8" x14ac:dyDescent="0.2">
      <c r="A114" s="240" t="s">
        <v>108</v>
      </c>
      <c r="B114" s="11">
        <v>239.1</v>
      </c>
      <c r="C114" s="174">
        <f>+((B114/$B$24)*Indeks!$D$163)*(H114/$H$24)</f>
        <v>433.02505256764061</v>
      </c>
      <c r="D114" s="171"/>
      <c r="E114" s="171"/>
      <c r="G114" s="238">
        <v>45245</v>
      </c>
      <c r="H114" s="239">
        <v>65.14</v>
      </c>
    </row>
    <row r="115" spans="1:8" x14ac:dyDescent="0.2">
      <c r="A115" s="237" t="s">
        <v>10</v>
      </c>
      <c r="B115" s="11">
        <v>187.7</v>
      </c>
      <c r="C115" s="174">
        <f>+((B115/$B$24)*Indeks!$D$163)*(H115/$H$24)</f>
        <v>346.98148256159203</v>
      </c>
      <c r="G115" s="238">
        <v>45275</v>
      </c>
      <c r="H115" s="239">
        <v>66.489999999999995</v>
      </c>
    </row>
    <row r="116" spans="1:8" x14ac:dyDescent="0.2">
      <c r="A116" s="240" t="s">
        <v>11</v>
      </c>
      <c r="B116" s="11">
        <v>193.6</v>
      </c>
      <c r="C116" s="174">
        <f>+((B116/$B$24)*Indeks!$D$163)*(H116/$H$24)</f>
        <v>356.00429398553587</v>
      </c>
      <c r="G116" s="238">
        <v>45306</v>
      </c>
      <c r="H116" s="239">
        <v>66.14</v>
      </c>
    </row>
    <row r="117" spans="1:8" x14ac:dyDescent="0.2">
      <c r="A117" s="237" t="s">
        <v>12</v>
      </c>
      <c r="B117" s="11">
        <v>188.6</v>
      </c>
      <c r="C117" s="174">
        <f>+((B117/$B$24)*Indeks!$D$163)*(H117/$H$24)</f>
        <v>347.2294541115831</v>
      </c>
      <c r="G117" s="238">
        <v>45337</v>
      </c>
      <c r="H117" s="248">
        <v>66.22</v>
      </c>
    </row>
    <row r="118" spans="1:8" x14ac:dyDescent="0.2">
      <c r="A118" s="240" t="s">
        <v>13</v>
      </c>
      <c r="B118" s="11">
        <v>187.5</v>
      </c>
      <c r="C118" s="174">
        <f>+((B118/$B$24)*Indeks!$D$163)*(H118/$H$24)</f>
        <v>344.99573617578505</v>
      </c>
      <c r="G118" s="238">
        <v>45366</v>
      </c>
      <c r="H118" s="248">
        <v>66.180000000000007</v>
      </c>
    </row>
    <row r="119" spans="1:8" x14ac:dyDescent="0.2">
      <c r="A119" s="237" t="s">
        <v>30</v>
      </c>
      <c r="B119" s="11">
        <v>181.8</v>
      </c>
      <c r="C119" s="174">
        <f>E121+((B119/$B$24)*Indeks!$D$163)*(H119/$H$24)</f>
        <v>326.26900479199844</v>
      </c>
      <c r="G119" s="238">
        <v>45397</v>
      </c>
      <c r="H119" s="239">
        <v>64.55</v>
      </c>
    </row>
    <row r="120" spans="1:8" x14ac:dyDescent="0.2">
      <c r="A120" s="237" t="s">
        <v>14</v>
      </c>
      <c r="B120" s="11">
        <v>177</v>
      </c>
      <c r="C120" s="174">
        <f>+((B120/$B$24)*Indeks!$D$163)*(H120/$H$24)</f>
        <v>314.50516106150997</v>
      </c>
      <c r="G120" s="247">
        <v>45427</v>
      </c>
      <c r="H120" s="248">
        <v>63.91</v>
      </c>
    </row>
    <row r="121" spans="1:8" x14ac:dyDescent="0.2">
      <c r="A121" s="240" t="s">
        <v>15</v>
      </c>
      <c r="B121" s="11">
        <v>179</v>
      </c>
      <c r="C121" s="243">
        <f>+((B121/$B$24)*Indeks!$D$163)*(H121/$H$24)</f>
        <v>329.35592946914943</v>
      </c>
      <c r="G121" s="247">
        <v>45457</v>
      </c>
      <c r="H121" s="239">
        <v>66.180000000000007</v>
      </c>
    </row>
    <row r="122" spans="1:8" x14ac:dyDescent="0.2">
      <c r="A122" s="240" t="s">
        <v>16</v>
      </c>
      <c r="B122" s="11">
        <v>172.9</v>
      </c>
      <c r="C122" s="243">
        <f>+((B122/$B$24)*Indeks!$D$163)*(H122/$H$24)</f>
        <v>310.87338847930522</v>
      </c>
      <c r="G122" s="238">
        <v>45488</v>
      </c>
      <c r="H122" s="239">
        <v>64.67</v>
      </c>
    </row>
    <row r="123" spans="1:8" x14ac:dyDescent="0.2">
      <c r="A123" s="240" t="s">
        <v>17</v>
      </c>
      <c r="B123" s="11">
        <v>164.9</v>
      </c>
      <c r="C123" s="243">
        <f>+((B123/$B$24)*Indeks!$D$163)*(H123/$H$24)</f>
        <v>297.13127726725321</v>
      </c>
      <c r="G123" s="238">
        <v>45519</v>
      </c>
      <c r="H123" s="248">
        <v>64.81</v>
      </c>
    </row>
    <row r="124" spans="1:8" x14ac:dyDescent="0.2">
      <c r="A124" s="241" t="s">
        <v>18</v>
      </c>
      <c r="B124" s="13">
        <v>166.1</v>
      </c>
      <c r="C124" s="245">
        <f>+((B124/$B$24)*Indeks!$D$163)*(H124/$H$24)</f>
        <v>304.41953895906971</v>
      </c>
      <c r="D124" s="13"/>
      <c r="E124" s="13"/>
      <c r="F124" s="13"/>
      <c r="G124" s="244">
        <v>45551</v>
      </c>
      <c r="H124" s="242">
        <v>65.92</v>
      </c>
    </row>
    <row r="126" spans="1:8" x14ac:dyDescent="0.2">
      <c r="A126" s="218"/>
      <c r="B126" s="327" t="s">
        <v>75</v>
      </c>
      <c r="C126" s="327" t="s">
        <v>78</v>
      </c>
      <c r="D126" s="219"/>
      <c r="E126" s="219"/>
      <c r="F126" s="219"/>
      <c r="G126" s="219"/>
      <c r="H126" s="220"/>
    </row>
    <row r="127" spans="1:8" x14ac:dyDescent="0.2">
      <c r="A127" s="221">
        <v>2025</v>
      </c>
      <c r="B127" s="328"/>
      <c r="C127" s="328"/>
      <c r="D127" s="224"/>
      <c r="E127" s="224"/>
      <c r="F127" s="224"/>
      <c r="G127" s="222" t="s">
        <v>112</v>
      </c>
      <c r="H127" s="223" t="s">
        <v>109</v>
      </c>
    </row>
    <row r="128" spans="1:8" x14ac:dyDescent="0.2">
      <c r="A128" s="237" t="s">
        <v>107</v>
      </c>
      <c r="B128" s="11">
        <v>171.6</v>
      </c>
      <c r="C128" s="174">
        <f>+((B128/$B$24)*Indeks!$D$163)*(H128/$H$24)</f>
        <v>314.97674906811926</v>
      </c>
      <c r="D128" s="171"/>
      <c r="E128" s="116"/>
      <c r="G128" s="238">
        <v>45580</v>
      </c>
      <c r="H128" s="239">
        <v>66.02</v>
      </c>
    </row>
    <row r="129" spans="1:8" x14ac:dyDescent="0.2">
      <c r="A129" s="240" t="s">
        <v>108</v>
      </c>
      <c r="B129" s="11">
        <v>173.7</v>
      </c>
      <c r="C129" s="174">
        <f>+((B129/$B$24)*Indeks!$D$163)*(H129/$H$24)</f>
        <v>310.7664040052199</v>
      </c>
      <c r="D129" s="171"/>
      <c r="E129" s="171"/>
      <c r="G129" s="238">
        <v>45611</v>
      </c>
      <c r="H129" s="239">
        <v>64.349999999999994</v>
      </c>
    </row>
    <row r="130" spans="1:8" x14ac:dyDescent="0.2">
      <c r="A130" s="237" t="s">
        <v>10</v>
      </c>
      <c r="B130" s="11"/>
      <c r="C130" s="174">
        <f>+((B130/$B$24)*Indeks!$D$163)*(H130/$H$24)</f>
        <v>0</v>
      </c>
      <c r="G130" s="238"/>
      <c r="H130" s="239"/>
    </row>
    <row r="131" spans="1:8" x14ac:dyDescent="0.2">
      <c r="A131" s="240" t="s">
        <v>11</v>
      </c>
      <c r="B131" s="11"/>
      <c r="C131" s="174">
        <f>+((B131/$B$24)*Indeks!$D$163)*(H131/$H$24)</f>
        <v>0</v>
      </c>
      <c r="G131" s="238"/>
      <c r="H131" s="239"/>
    </row>
    <row r="132" spans="1:8" x14ac:dyDescent="0.2">
      <c r="A132" s="237" t="s">
        <v>12</v>
      </c>
      <c r="B132" s="11"/>
      <c r="C132" s="174">
        <f>+((B132/$B$24)*Indeks!$D$163)*(H132/$H$24)</f>
        <v>0</v>
      </c>
      <c r="G132" s="238"/>
      <c r="H132" s="248"/>
    </row>
    <row r="133" spans="1:8" x14ac:dyDescent="0.2">
      <c r="A133" s="240" t="s">
        <v>13</v>
      </c>
      <c r="B133" s="11"/>
      <c r="C133" s="174">
        <f>+((B133/$B$24)*Indeks!$D$163)*(H133/$H$24)</f>
        <v>0</v>
      </c>
      <c r="G133" s="238"/>
      <c r="H133" s="248"/>
    </row>
    <row r="134" spans="1:8" x14ac:dyDescent="0.2">
      <c r="A134" s="237" t="s">
        <v>30</v>
      </c>
      <c r="B134" s="11"/>
      <c r="C134" s="174">
        <f>E136+((B134/$B$24)*Indeks!$D$163)*(H134/$H$24)</f>
        <v>0</v>
      </c>
      <c r="G134" s="238"/>
      <c r="H134" s="239"/>
    </row>
    <row r="135" spans="1:8" x14ac:dyDescent="0.2">
      <c r="A135" s="237" t="s">
        <v>14</v>
      </c>
      <c r="B135" s="11"/>
      <c r="C135" s="174">
        <f>+((B135/$B$24)*Indeks!$D$163)*(H135/$H$24)</f>
        <v>0</v>
      </c>
      <c r="G135" s="247"/>
      <c r="H135" s="248"/>
    </row>
    <row r="136" spans="1:8" x14ac:dyDescent="0.2">
      <c r="A136" s="240" t="s">
        <v>15</v>
      </c>
      <c r="B136" s="11"/>
      <c r="C136" s="243">
        <f>+((B136/$B$24)*Indeks!$D$163)*(H136/$H$24)</f>
        <v>0</v>
      </c>
      <c r="G136" s="247"/>
      <c r="H136" s="239"/>
    </row>
    <row r="137" spans="1:8" x14ac:dyDescent="0.2">
      <c r="A137" s="240" t="s">
        <v>16</v>
      </c>
      <c r="B137" s="11"/>
      <c r="C137" s="243">
        <f>+((B137/$B$24)*Indeks!$D$163)*(H137/$H$24)</f>
        <v>0</v>
      </c>
      <c r="G137" s="238"/>
      <c r="H137" s="239"/>
    </row>
    <row r="138" spans="1:8" x14ac:dyDescent="0.2">
      <c r="A138" s="240" t="s">
        <v>17</v>
      </c>
      <c r="B138" s="11"/>
      <c r="C138" s="243">
        <f>+((B138/$B$24)*Indeks!$D$163)*(H138/$H$24)</f>
        <v>0</v>
      </c>
      <c r="G138" s="238"/>
      <c r="H138" s="248"/>
    </row>
    <row r="139" spans="1:8" x14ac:dyDescent="0.2">
      <c r="A139" s="241" t="s">
        <v>18</v>
      </c>
      <c r="B139" s="13"/>
      <c r="C139" s="245">
        <f>+((B139/$B$24)*Indeks!$D$163)*(H139/$H$24)</f>
        <v>0</v>
      </c>
      <c r="D139" s="13"/>
      <c r="E139" s="13"/>
      <c r="F139" s="13"/>
      <c r="G139" s="244"/>
      <c r="H139" s="242"/>
    </row>
  </sheetData>
  <mergeCells count="19">
    <mergeCell ref="B126:B127"/>
    <mergeCell ref="C126:C127"/>
    <mergeCell ref="B111:B112"/>
    <mergeCell ref="C111:C112"/>
    <mergeCell ref="B96:B97"/>
    <mergeCell ref="C96:C97"/>
    <mergeCell ref="B81:B82"/>
    <mergeCell ref="C81:C82"/>
    <mergeCell ref="B66:B67"/>
    <mergeCell ref="C66:C67"/>
    <mergeCell ref="A1:N1"/>
    <mergeCell ref="G16:M17"/>
    <mergeCell ref="A2:N2"/>
    <mergeCell ref="B51:B52"/>
    <mergeCell ref="C51:C52"/>
    <mergeCell ref="B36:B37"/>
    <mergeCell ref="C36:C37"/>
    <mergeCell ref="B21:B22"/>
    <mergeCell ref="C21:C22"/>
  </mergeCells>
  <pageMargins left="0.74803149606299213" right="0.74803149606299213" top="0.78740157480314965" bottom="0.39370078740157483" header="0" footer="0"/>
  <pageSetup paperSize="9" scale="59" fitToHeight="0" orientation="portrait" r:id="rId1"/>
  <headerFooter alignWithMargins="0">
    <oddHeader>&amp;L&amp;G&amp;R&amp;14
&amp;"Arial,Fed"HVO&amp;"Arial,Normal" &amp;"Arial,Fed"Omkostningsindeks</oddHeader>
    <oddFooter>&amp;L&amp;D&amp;RKontaktinformation: FynBus (HNB/JNB)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Navngivne områder</vt:lpstr>
      </vt:variant>
      <vt:variant>
        <vt:i4>11</vt:i4>
      </vt:variant>
    </vt:vector>
  </HeadingPairs>
  <TitlesOfParts>
    <vt:vector size="17" baseType="lpstr">
      <vt:lpstr>Indeks</vt:lpstr>
      <vt:lpstr>Reelle vægte</vt:lpstr>
      <vt:lpstr>Udvikling i indeks</vt:lpstr>
      <vt:lpstr>Kilder og dokumentation</vt:lpstr>
      <vt:lpstr>Note pris 10</vt:lpstr>
      <vt:lpstr>Beregning HVO indeks</vt:lpstr>
      <vt:lpstr>LønStigning2009</vt:lpstr>
      <vt:lpstr>LønStigning2010</vt:lpstr>
      <vt:lpstr>LønStigning2011</vt:lpstr>
      <vt:lpstr>PrisStigning2009</vt:lpstr>
      <vt:lpstr>Prisstigning2010</vt:lpstr>
      <vt:lpstr>PrisStigning2011</vt:lpstr>
      <vt:lpstr>'Beregning HVO indeks'!Udskriftsområde</vt:lpstr>
      <vt:lpstr>Indeks!Udskriftsområde</vt:lpstr>
      <vt:lpstr>'Kilder og dokumentation'!Udskriftsområde</vt:lpstr>
      <vt:lpstr>'Note pris 10'!Udskriftsområde</vt:lpstr>
      <vt:lpstr>Indeks!Udskriftstitler</vt:lpstr>
    </vt:vector>
  </TitlesOfParts>
  <Company>Danske Busvognmænd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Korshøj Nielsen</dc:creator>
  <cp:lastModifiedBy>Jacob Nissen Boldt</cp:lastModifiedBy>
  <cp:lastPrinted>2024-12-19T10:31:22Z</cp:lastPrinted>
  <dcterms:created xsi:type="dcterms:W3CDTF">2009-05-19T06:17:18Z</dcterms:created>
  <dcterms:modified xsi:type="dcterms:W3CDTF">2025-01-20T20:15:57Z</dcterms:modified>
</cp:coreProperties>
</file>